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рхив_Носачев А.В\ААА\Приказы по ТП\Приказ по ТП на 2018 год\Исполнение\Калмэнерго\"/>
    </mc:Choice>
  </mc:AlternateContent>
  <bookViews>
    <workbookView xWindow="480" yWindow="5415" windowWidth="11340" windowHeight="3195" tabRatio="715"/>
  </bookViews>
  <sheets>
    <sheet name="Приложение 2" sheetId="105" r:id="rId1"/>
    <sheet name="Приложение 3" sheetId="85" r:id="rId2"/>
    <sheet name="Приложение 4 " sheetId="77" r:id="rId3"/>
    <sheet name="Приложение 5 " sheetId="92" r:id="rId4"/>
    <sheet name="Приложение 6" sheetId="106" r:id="rId5"/>
    <sheet name="Приложение 7" sheetId="107" r:id="rId6"/>
    <sheet name="Приложение 8" sheetId="108" r:id="rId7"/>
    <sheet name="Приложение 9" sheetId="10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Titles" localSheetId="2">'Приложение 4 '!$8:$8</definedName>
    <definedName name="_xlnm.Print_Area" localSheetId="0">'Приложение 2'!$A$1:$I$29</definedName>
    <definedName name="_xlnm.Print_Area" localSheetId="1">'Приложение 3'!$A$1:$K$96</definedName>
    <definedName name="_xlnm.Print_Area" localSheetId="2">'Приложение 4 '!$A$1:$F$192</definedName>
    <definedName name="_xlnm.Print_Area" localSheetId="3">'Приложение 5 '!$A$1:$D$37</definedName>
    <definedName name="_xlnm.Print_Area" localSheetId="4">'Приложение 6'!$A$1:$C$42</definedName>
    <definedName name="_xlnm.Print_Area" localSheetId="5">'Приложение 7'!$A$1:$D$47</definedName>
    <definedName name="_xlnm.Print_Area" localSheetId="6">'Приложение 8'!$A$1:$K$28</definedName>
    <definedName name="_xlnm.Print_Area" localSheetId="7">'Приложение 9'!$A$1:$H$28</definedName>
  </definedNames>
  <calcPr calcId="152511"/>
</workbook>
</file>

<file path=xl/calcChain.xml><?xml version="1.0" encoding="utf-8"?>
<calcChain xmlns="http://schemas.openxmlformats.org/spreadsheetml/2006/main">
  <c r="L111" i="77" l="1"/>
  <c r="L77" i="77"/>
  <c r="L36" i="77"/>
  <c r="L37" i="77"/>
  <c r="E186" i="77"/>
  <c r="E185" i="77"/>
  <c r="E184" i="77"/>
  <c r="E183" i="77"/>
  <c r="E182" i="77"/>
  <c r="E181" i="77"/>
  <c r="E180" i="77"/>
  <c r="E179" i="77"/>
  <c r="E178" i="77"/>
  <c r="E177" i="77"/>
  <c r="E176" i="77"/>
  <c r="E175" i="77" s="1"/>
  <c r="L163" i="77"/>
  <c r="E171" i="77"/>
  <c r="D171" i="77"/>
  <c r="E170" i="77"/>
  <c r="D170" i="77"/>
  <c r="E169" i="77"/>
  <c r="D169" i="77"/>
  <c r="E168" i="77"/>
  <c r="D168" i="77"/>
  <c r="E167" i="77"/>
  <c r="D167" i="77"/>
  <c r="E166" i="77"/>
  <c r="D166" i="77"/>
  <c r="E165" i="77"/>
  <c r="D165" i="77"/>
  <c r="E160" i="77"/>
  <c r="E159" i="77"/>
  <c r="E158" i="77"/>
  <c r="E157" i="77"/>
  <c r="E156" i="77"/>
  <c r="E152" i="77"/>
  <c r="E153" i="77"/>
  <c r="E154" i="77"/>
  <c r="E155" i="77"/>
  <c r="E151" i="77"/>
  <c r="E150" i="77"/>
  <c r="E136" i="77"/>
  <c r="D136" i="77"/>
  <c r="E135" i="77"/>
  <c r="D135" i="77"/>
  <c r="E134" i="77"/>
  <c r="D134" i="77"/>
  <c r="E133" i="77"/>
  <c r="D133" i="77"/>
  <c r="E132" i="77"/>
  <c r="D132" i="77"/>
  <c r="E131" i="77"/>
  <c r="D131" i="77"/>
  <c r="E130" i="77"/>
  <c r="L123" i="77"/>
  <c r="E125" i="77"/>
  <c r="D125" i="77"/>
  <c r="E124" i="77"/>
  <c r="D124" i="77"/>
  <c r="F80" i="77"/>
  <c r="F79" i="77"/>
  <c r="F78" i="77"/>
  <c r="F112" i="77"/>
  <c r="E43" i="77"/>
  <c r="D43" i="77"/>
  <c r="F42" i="77"/>
  <c r="F41" i="77"/>
  <c r="E40" i="77"/>
  <c r="D40" i="77"/>
  <c r="F39" i="77"/>
  <c r="F38" i="77"/>
  <c r="E12" i="77"/>
  <c r="E129" i="77"/>
  <c r="E137" i="77"/>
  <c r="D137" i="77"/>
  <c r="F124" i="77" l="1"/>
  <c r="F125" i="77"/>
  <c r="E149" i="77"/>
  <c r="F40" i="77"/>
  <c r="F43" i="77"/>
  <c r="D130" i="77" l="1"/>
  <c r="D129" i="77"/>
  <c r="L25" i="77"/>
  <c r="D185" i="77" l="1"/>
  <c r="D186" i="77"/>
  <c r="D183" i="77"/>
  <c r="D160" i="77"/>
  <c r="D159" i="77"/>
  <c r="D157" i="77"/>
  <c r="D150" i="77" l="1"/>
  <c r="D178" i="77"/>
  <c r="D155" i="77"/>
  <c r="D154" i="77"/>
  <c r="D153" i="77"/>
  <c r="D182" i="77"/>
  <c r="D179" i="77"/>
  <c r="D181" i="77"/>
  <c r="D152" i="77"/>
  <c r="D180" i="77"/>
  <c r="F150" i="77" l="1"/>
  <c r="D158" i="77"/>
  <c r="D151" i="77"/>
  <c r="D156" i="77"/>
  <c r="D12" i="77"/>
  <c r="D176" i="77"/>
  <c r="D184" i="77"/>
  <c r="D177" i="77"/>
  <c r="F176" i="77" l="1"/>
  <c r="F12" i="77"/>
  <c r="L174" i="77"/>
  <c r="L148" i="77"/>
  <c r="L10" i="77"/>
  <c r="L9" i="77" l="1"/>
  <c r="D35" i="92" l="1"/>
  <c r="D33" i="92"/>
  <c r="C20" i="92"/>
  <c r="C19" i="92"/>
  <c r="C35" i="92"/>
  <c r="C34" i="92"/>
  <c r="C33" i="92"/>
  <c r="C32" i="92"/>
  <c r="C31" i="92"/>
  <c r="C30" i="92"/>
  <c r="C26" i="92"/>
  <c r="C25" i="92"/>
  <c r="C24" i="92"/>
  <c r="C23" i="92"/>
  <c r="C16" i="92"/>
  <c r="C15" i="92"/>
  <c r="C14" i="92"/>
  <c r="C13" i="92"/>
  <c r="D45" i="107" l="1"/>
  <c r="C45" i="107"/>
  <c r="B45" i="107"/>
  <c r="D44" i="107"/>
  <c r="C44" i="107"/>
  <c r="B44" i="107"/>
  <c r="D42" i="107"/>
  <c r="C42" i="107"/>
  <c r="B42" i="107"/>
  <c r="D41" i="107"/>
  <c r="C41" i="107"/>
  <c r="B41" i="107"/>
  <c r="D40" i="107"/>
  <c r="C40" i="107"/>
  <c r="B40" i="107"/>
  <c r="D38" i="107"/>
  <c r="C38" i="107"/>
  <c r="B38" i="107"/>
  <c r="D37" i="107"/>
  <c r="C37" i="107"/>
  <c r="B37" i="107"/>
  <c r="D36" i="107"/>
  <c r="C36" i="107"/>
  <c r="B36" i="107"/>
  <c r="D34" i="107"/>
  <c r="C34" i="107"/>
  <c r="B34" i="107"/>
  <c r="D33" i="107"/>
  <c r="C33" i="107"/>
  <c r="B33" i="107"/>
  <c r="D32" i="107"/>
  <c r="C32" i="107"/>
  <c r="B32" i="107"/>
  <c r="D25" i="107"/>
  <c r="C25" i="107"/>
  <c r="B25" i="107"/>
  <c r="D24" i="107"/>
  <c r="C24" i="107"/>
  <c r="B24" i="107"/>
  <c r="D23" i="107"/>
  <c r="C23" i="107"/>
  <c r="B23" i="107"/>
  <c r="D21" i="107"/>
  <c r="C21" i="107"/>
  <c r="B21" i="107"/>
  <c r="D20" i="107"/>
  <c r="C20" i="107"/>
  <c r="B20" i="107"/>
  <c r="D19" i="107"/>
  <c r="C19" i="107"/>
  <c r="B19" i="107"/>
  <c r="D17" i="107"/>
  <c r="C17" i="107"/>
  <c r="B17" i="107"/>
  <c r="D16" i="107"/>
  <c r="C16" i="107"/>
  <c r="B16" i="107"/>
  <c r="D15" i="107"/>
  <c r="C15" i="107"/>
  <c r="B15" i="107"/>
  <c r="C23" i="106"/>
  <c r="B23" i="106"/>
  <c r="C22" i="106"/>
  <c r="B22" i="106"/>
  <c r="C20" i="106"/>
  <c r="B20" i="106"/>
  <c r="C19" i="106"/>
  <c r="B19" i="106"/>
  <c r="C18" i="106"/>
  <c r="B18" i="106"/>
  <c r="C16" i="106"/>
  <c r="B16" i="106"/>
  <c r="C15" i="106"/>
  <c r="B15" i="106"/>
  <c r="C14" i="106"/>
  <c r="B14" i="106"/>
  <c r="E128" i="77" l="1"/>
  <c r="D128" i="77"/>
  <c r="E127" i="77"/>
  <c r="E126" i="77"/>
  <c r="E123" i="77" s="1"/>
  <c r="D126" i="77"/>
  <c r="E111" i="77"/>
  <c r="D111" i="77"/>
  <c r="E77" i="77"/>
  <c r="D77" i="77"/>
  <c r="E76" i="77"/>
  <c r="E73" i="77"/>
  <c r="E70" i="77"/>
  <c r="E67" i="77"/>
  <c r="E64" i="77"/>
  <c r="E35" i="77"/>
  <c r="E34" i="77"/>
  <c r="E33" i="77"/>
  <c r="E32" i="77"/>
  <c r="E31" i="77"/>
  <c r="E30" i="77"/>
  <c r="E29" i="77"/>
  <c r="E28" i="77"/>
  <c r="E27" i="77"/>
  <c r="E22" i="77"/>
  <c r="E21" i="77"/>
  <c r="E20" i="77"/>
  <c r="E19" i="77"/>
  <c r="E18" i="77"/>
  <c r="E17" i="77"/>
  <c r="E16" i="77"/>
  <c r="E15" i="77"/>
  <c r="E14" i="77"/>
  <c r="D87" i="85"/>
  <c r="D86" i="85"/>
  <c r="D84" i="85"/>
  <c r="D83" i="85"/>
  <c r="D81" i="85"/>
  <c r="D80" i="85"/>
  <c r="D78" i="85"/>
  <c r="D77" i="85"/>
  <c r="D75" i="85"/>
  <c r="D74" i="85"/>
  <c r="D72" i="85"/>
  <c r="D85" i="85"/>
  <c r="D79" i="85"/>
  <c r="D73" i="85"/>
  <c r="D71" i="85"/>
  <c r="E64" i="85"/>
  <c r="E61" i="85"/>
  <c r="E58" i="85"/>
  <c r="E55" i="85"/>
  <c r="F48" i="85"/>
  <c r="E48" i="85"/>
  <c r="D48" i="85"/>
  <c r="E45" i="85"/>
  <c r="D45" i="85"/>
  <c r="E42" i="85"/>
  <c r="D42" i="85"/>
  <c r="E39" i="85"/>
  <c r="D39" i="85"/>
  <c r="E36" i="85"/>
  <c r="D36" i="85"/>
  <c r="D32" i="85"/>
  <c r="D31" i="85"/>
  <c r="D30" i="85"/>
  <c r="D29" i="85"/>
  <c r="E21" i="85"/>
  <c r="D21" i="85"/>
  <c r="F126" i="77" l="1"/>
  <c r="D26" i="107"/>
  <c r="C26" i="107"/>
  <c r="B26" i="107"/>
  <c r="C33" i="106"/>
  <c r="B33" i="106"/>
  <c r="C29" i="106"/>
  <c r="B29" i="106"/>
  <c r="C25" i="106"/>
  <c r="B25" i="106"/>
  <c r="C21" i="106"/>
  <c r="B21" i="106"/>
  <c r="F13" i="106"/>
  <c r="C17" i="106" l="1"/>
  <c r="C13" i="106"/>
  <c r="B13" i="106"/>
  <c r="B17" i="106"/>
  <c r="S18" i="106"/>
  <c r="B43" i="107"/>
  <c r="C12" i="106" l="1"/>
  <c r="B12" i="106"/>
  <c r="D28" i="85"/>
  <c r="P12" i="106" l="1"/>
  <c r="M13" i="106" l="1"/>
  <c r="Q45" i="107" l="1"/>
  <c r="Q43" i="107" s="1"/>
  <c r="Q41" i="107"/>
  <c r="Q40" i="107"/>
  <c r="Q38" i="107"/>
  <c r="Q37" i="107"/>
  <c r="Q36" i="107"/>
  <c r="Q34" i="107"/>
  <c r="Q33" i="107"/>
  <c r="Q32" i="107"/>
  <c r="Q25" i="107"/>
  <c r="Q24" i="107"/>
  <c r="Q23" i="107"/>
  <c r="Q20" i="107"/>
  <c r="Q19" i="107"/>
  <c r="Q17" i="107"/>
  <c r="Q16" i="107"/>
  <c r="Q15" i="107"/>
  <c r="Q8" i="107"/>
  <c r="O45" i="107"/>
  <c r="O43" i="107" s="1"/>
  <c r="O41" i="107"/>
  <c r="O40" i="107"/>
  <c r="O38" i="107"/>
  <c r="O37" i="107"/>
  <c r="O36" i="107"/>
  <c r="O34" i="107"/>
  <c r="O33" i="107"/>
  <c r="O32" i="107"/>
  <c r="O25" i="107"/>
  <c r="O24" i="107"/>
  <c r="O23" i="107"/>
  <c r="O20" i="107"/>
  <c r="O19" i="107"/>
  <c r="O17" i="107"/>
  <c r="O16" i="107"/>
  <c r="O15" i="107"/>
  <c r="O8" i="107"/>
  <c r="P46" i="107"/>
  <c r="P45" i="107"/>
  <c r="P44" i="107"/>
  <c r="P42" i="107"/>
  <c r="P41" i="107"/>
  <c r="P40" i="107"/>
  <c r="P38" i="107"/>
  <c r="P37" i="107"/>
  <c r="P36" i="107"/>
  <c r="P25" i="107"/>
  <c r="P24" i="107"/>
  <c r="P23" i="107"/>
  <c r="P21" i="107"/>
  <c r="P20" i="107"/>
  <c r="P19" i="107"/>
  <c r="P8" i="107"/>
  <c r="Q39" i="107" l="1"/>
  <c r="O39" i="107"/>
  <c r="O18" i="107"/>
  <c r="P35" i="107"/>
  <c r="O31" i="107"/>
  <c r="N30" i="107" s="1"/>
  <c r="Q31" i="107"/>
  <c r="O14" i="107"/>
  <c r="O22" i="107"/>
  <c r="O35" i="107"/>
  <c r="O30" i="107" s="1"/>
  <c r="Q14" i="107"/>
  <c r="Q22" i="107"/>
  <c r="Q35" i="107"/>
  <c r="Q18" i="107"/>
  <c r="P18" i="107"/>
  <c r="P39" i="107"/>
  <c r="P22" i="107"/>
  <c r="P43" i="107"/>
  <c r="Q13" i="107" l="1"/>
  <c r="O13" i="107"/>
  <c r="O12" i="107" s="1"/>
  <c r="Q30" i="107"/>
  <c r="N13" i="107"/>
  <c r="N12" i="107" s="1"/>
  <c r="Q12" i="107" l="1"/>
  <c r="I30" i="107"/>
  <c r="I13" i="107"/>
  <c r="K12" i="107"/>
  <c r="J12" i="107"/>
  <c r="K30" i="107"/>
  <c r="J30" i="107"/>
  <c r="K13" i="107"/>
  <c r="J13" i="107"/>
  <c r="J12" i="106"/>
  <c r="I12" i="106"/>
  <c r="M12" i="106" l="1"/>
  <c r="L13" i="107"/>
  <c r="L12" i="107"/>
  <c r="L30" i="107"/>
  <c r="J25" i="106"/>
  <c r="J21" i="106"/>
  <c r="J17" i="106"/>
  <c r="I25" i="106"/>
  <c r="I21" i="106"/>
  <c r="I17" i="106"/>
  <c r="M17" i="106" l="1"/>
  <c r="M25" i="106"/>
  <c r="M21" i="106"/>
  <c r="B14" i="107" l="1"/>
  <c r="B39" i="107" l="1"/>
  <c r="B31" i="107" l="1"/>
  <c r="F21" i="106" l="1"/>
  <c r="F25" i="106"/>
  <c r="Z11" i="107"/>
  <c r="Z16" i="107"/>
  <c r="Z15" i="107"/>
  <c r="W12" i="107" l="1"/>
  <c r="D161" i="77" l="1"/>
  <c r="E161" i="77"/>
  <c r="F188" i="77" l="1"/>
  <c r="F173" i="77"/>
  <c r="F162" i="77"/>
  <c r="F161" i="77"/>
  <c r="F147" i="77"/>
  <c r="F146" i="77"/>
  <c r="F145" i="77"/>
  <c r="F144" i="77"/>
  <c r="F143" i="77"/>
  <c r="F142" i="77"/>
  <c r="F141" i="77"/>
  <c r="F140" i="77"/>
  <c r="F139" i="77"/>
  <c r="F138" i="77"/>
  <c r="F137" i="77"/>
  <c r="F136" i="77"/>
  <c r="F135" i="77"/>
  <c r="F134" i="77"/>
  <c r="F133" i="77"/>
  <c r="F132" i="77"/>
  <c r="F131" i="77"/>
  <c r="F122" i="77"/>
  <c r="F121" i="77"/>
  <c r="F120" i="77"/>
  <c r="F119" i="77"/>
  <c r="F118" i="77"/>
  <c r="F117" i="77"/>
  <c r="F116" i="77"/>
  <c r="F115" i="77"/>
  <c r="F114" i="77"/>
  <c r="F113" i="77"/>
  <c r="F111" i="77"/>
  <c r="F110" i="77"/>
  <c r="F109" i="77"/>
  <c r="F108" i="77"/>
  <c r="F107" i="77"/>
  <c r="F106" i="77"/>
  <c r="F105" i="77"/>
  <c r="F104" i="77"/>
  <c r="F103" i="77"/>
  <c r="F102" i="77"/>
  <c r="F101" i="77"/>
  <c r="F100" i="77"/>
  <c r="F99" i="77"/>
  <c r="F98" i="77"/>
  <c r="F97" i="77"/>
  <c r="F96" i="77"/>
  <c r="F95" i="77"/>
  <c r="F94" i="77"/>
  <c r="F93" i="77"/>
  <c r="F92" i="77"/>
  <c r="F91" i="77"/>
  <c r="F90" i="77"/>
  <c r="F89" i="77"/>
  <c r="F88" i="77"/>
  <c r="F87" i="77"/>
  <c r="F86" i="77"/>
  <c r="F85" i="77"/>
  <c r="F84" i="77"/>
  <c r="F83" i="77"/>
  <c r="F82" i="77"/>
  <c r="F81" i="77"/>
  <c r="F77" i="77"/>
  <c r="F75" i="77"/>
  <c r="F74" i="77"/>
  <c r="F72" i="77"/>
  <c r="F71" i="77"/>
  <c r="F69" i="77"/>
  <c r="F68" i="77"/>
  <c r="F66" i="77"/>
  <c r="F65" i="77"/>
  <c r="F63" i="77"/>
  <c r="F62" i="77"/>
  <c r="F60" i="77"/>
  <c r="F59" i="77"/>
  <c r="F57" i="77"/>
  <c r="F56" i="77"/>
  <c r="F54" i="77"/>
  <c r="F53" i="77"/>
  <c r="F51" i="77"/>
  <c r="F50" i="77"/>
  <c r="F48" i="77"/>
  <c r="F47" i="77"/>
  <c r="F45" i="77"/>
  <c r="F44" i="77"/>
  <c r="F24" i="77"/>
  <c r="E187" i="77"/>
  <c r="D187" i="77"/>
  <c r="F187" i="77" s="1"/>
  <c r="E172" i="77"/>
  <c r="D172" i="77"/>
  <c r="F172" i="77" s="1"/>
  <c r="E23" i="77"/>
  <c r="D23" i="77"/>
  <c r="I21" i="85"/>
  <c r="H21" i="85"/>
  <c r="H16" i="85"/>
  <c r="H32" i="85"/>
  <c r="H31" i="85"/>
  <c r="H30" i="85"/>
  <c r="H29" i="85"/>
  <c r="F23" i="77" l="1"/>
  <c r="B8" i="107"/>
  <c r="C8" i="107"/>
  <c r="D8" i="107"/>
  <c r="F130" i="77" l="1"/>
  <c r="F128" i="77" l="1"/>
  <c r="H28" i="85" l="1"/>
  <c r="F17" i="106" l="1"/>
  <c r="G17" i="106" l="1"/>
  <c r="C43" i="107"/>
  <c r="C22" i="107" l="1"/>
  <c r="Z17" i="107" l="1"/>
  <c r="Z14" i="107" s="1"/>
  <c r="Z12" i="107" l="1"/>
  <c r="AC12" i="107" s="1"/>
  <c r="C18" i="107" l="1"/>
  <c r="P33" i="107" l="1"/>
  <c r="P16" i="107"/>
  <c r="P32" i="107"/>
  <c r="P34" i="107" l="1"/>
  <c r="P31" i="107" s="1"/>
  <c r="P30" i="107" s="1"/>
  <c r="C31" i="107" l="1"/>
  <c r="P15" i="107" l="1"/>
  <c r="P17" i="107" l="1"/>
  <c r="P14" i="107" s="1"/>
  <c r="P13" i="107" s="1"/>
  <c r="P12" i="107" s="1"/>
  <c r="D43" i="107" l="1"/>
  <c r="B22" i="107" l="1"/>
  <c r="D18" i="107"/>
  <c r="D35" i="107" l="1"/>
  <c r="B18" i="107"/>
  <c r="B13" i="107" s="1"/>
  <c r="M13" i="107"/>
  <c r="R13" i="107" s="1"/>
  <c r="C35" i="107" l="1"/>
  <c r="B35" i="107" l="1"/>
  <c r="B30" i="107" s="1"/>
  <c r="B12" i="107" s="1"/>
  <c r="F12" i="106" l="1"/>
  <c r="G13" i="106" l="1"/>
  <c r="E12" i="106" l="1"/>
  <c r="Q12" i="106"/>
  <c r="D31" i="107" l="1"/>
  <c r="D22" i="107" l="1"/>
  <c r="D39" i="107" l="1"/>
  <c r="D30" i="107" s="1"/>
  <c r="G30" i="107" s="1"/>
  <c r="H30" i="107"/>
  <c r="C39" i="107"/>
  <c r="C30" i="107" s="1"/>
  <c r="E30" i="107" s="1"/>
  <c r="F30" i="107"/>
  <c r="F31" i="107" s="1"/>
  <c r="D14" i="107" l="1"/>
  <c r="D13" i="107" s="1"/>
  <c r="H13" i="107"/>
  <c r="H12" i="107"/>
  <c r="C14" i="107"/>
  <c r="C13" i="107" s="1"/>
  <c r="S13" i="107"/>
  <c r="T13" i="107" s="1"/>
  <c r="F13" i="107"/>
  <c r="F14" i="107" s="1"/>
  <c r="F12" i="107"/>
  <c r="D12" i="107" l="1"/>
  <c r="G12" i="107" s="1"/>
  <c r="G13" i="107"/>
  <c r="C12" i="107"/>
  <c r="E13" i="107"/>
  <c r="AA11" i="107" l="1"/>
  <c r="X12" i="107"/>
  <c r="E12" i="107"/>
  <c r="C28" i="92" l="1"/>
  <c r="E164" i="77" l="1"/>
  <c r="E163" i="77" l="1"/>
  <c r="C27" i="92" l="1"/>
  <c r="C21" i="92" s="1"/>
  <c r="C17" i="92" s="1"/>
  <c r="C11" i="92" s="1"/>
  <c r="C36" i="92" s="1"/>
  <c r="D14" i="92" l="1"/>
  <c r="D24" i="92" l="1"/>
  <c r="D19" i="92"/>
  <c r="D25" i="92"/>
  <c r="D20" i="92"/>
  <c r="D26" i="92"/>
  <c r="D23" i="92"/>
  <c r="D30" i="92"/>
  <c r="D76" i="77" l="1"/>
  <c r="F76" i="77" s="1"/>
  <c r="D70" i="77"/>
  <c r="F70" i="77" s="1"/>
  <c r="D73" i="77"/>
  <c r="F73" i="77" s="1"/>
  <c r="D67" i="77"/>
  <c r="F67" i="77" s="1"/>
  <c r="D127" i="77" l="1"/>
  <c r="D123" i="77" s="1"/>
  <c r="F129" i="77"/>
  <c r="F127" i="77" l="1"/>
  <c r="F123" i="77" l="1"/>
  <c r="D64" i="77"/>
  <c r="F64" i="77" s="1"/>
  <c r="D49" i="77" l="1"/>
  <c r="E58" i="77" l="1"/>
  <c r="E49" i="77" l="1"/>
  <c r="F49" i="77" s="1"/>
  <c r="E61" i="77" l="1"/>
  <c r="D61" i="77" l="1"/>
  <c r="F61" i="77" s="1"/>
  <c r="D58" i="77"/>
  <c r="F58" i="77" s="1"/>
  <c r="D31" i="92" l="1"/>
  <c r="D55" i="77" l="1"/>
  <c r="D46" i="77"/>
  <c r="E52" i="77" l="1"/>
  <c r="E46" i="77" l="1"/>
  <c r="E55" i="77"/>
  <c r="F55" i="77" s="1"/>
  <c r="E37" i="77" l="1"/>
  <c r="E36" i="77"/>
  <c r="F46" i="77"/>
  <c r="D52" i="77"/>
  <c r="D37" i="77" s="1"/>
  <c r="F52" i="77" l="1"/>
  <c r="D36" i="77"/>
  <c r="F37" i="77" l="1"/>
  <c r="F36" i="77"/>
  <c r="E26" i="77" l="1"/>
  <c r="E25" i="77" s="1"/>
  <c r="E13" i="77"/>
  <c r="E148" i="77"/>
  <c r="E11" i="77" l="1"/>
  <c r="E10" i="77" s="1"/>
  <c r="E174" i="77"/>
  <c r="D28" i="77" l="1"/>
  <c r="F28" i="77" s="1"/>
  <c r="D13" i="92" l="1"/>
  <c r="D33" i="77"/>
  <c r="F33" i="77" s="1"/>
  <c r="D34" i="77"/>
  <c r="F34" i="77" s="1"/>
  <c r="D27" i="77"/>
  <c r="F27" i="77" s="1"/>
  <c r="D32" i="77"/>
  <c r="F32" i="77" s="1"/>
  <c r="D35" i="77"/>
  <c r="F35" i="77" s="1"/>
  <c r="D29" i="77"/>
  <c r="F29" i="77" s="1"/>
  <c r="D30" i="77"/>
  <c r="F30" i="77" s="1"/>
  <c r="D27" i="92" l="1"/>
  <c r="D21" i="92" s="1"/>
  <c r="D17" i="92" s="1"/>
  <c r="G31" i="85"/>
  <c r="D31" i="77"/>
  <c r="F31" i="77" s="1"/>
  <c r="F170" i="77"/>
  <c r="D26" i="77" l="1"/>
  <c r="D25" i="77" l="1"/>
  <c r="F25" i="77" s="1"/>
  <c r="F26" i="77"/>
  <c r="D26" i="85" l="1"/>
  <c r="H26" i="85" s="1"/>
  <c r="F167" i="77" l="1"/>
  <c r="E26" i="85" l="1"/>
  <c r="I26" i="85" s="1"/>
  <c r="F168" i="77"/>
  <c r="E31" i="85"/>
  <c r="I31" i="85" s="1"/>
  <c r="F169" i="77"/>
  <c r="F31" i="85" l="1"/>
  <c r="F171" i="77" l="1"/>
  <c r="F166" i="77" l="1"/>
  <c r="D34" i="92" l="1"/>
  <c r="F34" i="92" l="1"/>
  <c r="D15" i="92" l="1"/>
  <c r="D16" i="92"/>
  <c r="G32" i="85" l="1"/>
  <c r="G30" i="85"/>
  <c r="G29" i="85"/>
  <c r="F185" i="77"/>
  <c r="F159" i="77"/>
  <c r="G28" i="85" l="1"/>
  <c r="F165" i="77"/>
  <c r="D164" i="77"/>
  <c r="D22" i="77"/>
  <c r="F22" i="77" s="1"/>
  <c r="D21" i="77"/>
  <c r="F21" i="77" s="1"/>
  <c r="D163" i="77" l="1"/>
  <c r="F163" i="77" s="1"/>
  <c r="F164" i="77"/>
  <c r="D19" i="77"/>
  <c r="F19" i="77" s="1"/>
  <c r="D27" i="85" l="1"/>
  <c r="H27" i="85" s="1"/>
  <c r="D25" i="85" l="1"/>
  <c r="H25" i="85" s="1"/>
  <c r="E29" i="85"/>
  <c r="E32" i="85"/>
  <c r="I32" i="85" s="1"/>
  <c r="D20" i="85"/>
  <c r="H20" i="85" s="1"/>
  <c r="E25" i="85"/>
  <c r="I25" i="85" s="1"/>
  <c r="E22" i="85"/>
  <c r="I22" i="85" s="1"/>
  <c r="E20" i="85"/>
  <c r="I20" i="85" s="1"/>
  <c r="E27" i="85"/>
  <c r="I27" i="85" s="1"/>
  <c r="F152" i="77"/>
  <c r="D22" i="85"/>
  <c r="H22" i="85" s="1"/>
  <c r="F180" i="77"/>
  <c r="F157" i="77"/>
  <c r="F156" i="77"/>
  <c r="F155" i="77"/>
  <c r="D24" i="85"/>
  <c r="F184" i="77"/>
  <c r="F181" i="77"/>
  <c r="F183" i="77"/>
  <c r="F154" i="77"/>
  <c r="F182" i="77"/>
  <c r="H24" i="85" l="1"/>
  <c r="D23" i="85"/>
  <c r="H23" i="85" s="1"/>
  <c r="I29" i="85"/>
  <c r="E30" i="85"/>
  <c r="I30" i="85" s="1"/>
  <c r="F29" i="85"/>
  <c r="F32" i="85"/>
  <c r="F30" i="85"/>
  <c r="D14" i="77"/>
  <c r="F14" i="77" s="1"/>
  <c r="D19" i="85"/>
  <c r="F160" i="77"/>
  <c r="D15" i="85"/>
  <c r="H15" i="85" s="1"/>
  <c r="F153" i="77"/>
  <c r="F158" i="77"/>
  <c r="E24" i="85"/>
  <c r="E19" i="85"/>
  <c r="D17" i="85"/>
  <c r="H17" i="85" s="1"/>
  <c r="D14" i="85"/>
  <c r="F186" i="77"/>
  <c r="D18" i="77"/>
  <c r="F18" i="77" s="1"/>
  <c r="D13" i="77"/>
  <c r="F179" i="77"/>
  <c r="D15" i="77"/>
  <c r="F15" i="77" s="1"/>
  <c r="D20" i="77"/>
  <c r="F20" i="77" s="1"/>
  <c r="D16" i="77"/>
  <c r="F16" i="77" s="1"/>
  <c r="D17" i="77"/>
  <c r="F17" i="77" s="1"/>
  <c r="F178" i="77" l="1"/>
  <c r="D175" i="77"/>
  <c r="D11" i="77"/>
  <c r="H14" i="85"/>
  <c r="D13" i="85"/>
  <c r="H13" i="85" s="1"/>
  <c r="I19" i="85"/>
  <c r="E18" i="85"/>
  <c r="I18" i="85" s="1"/>
  <c r="E28" i="85"/>
  <c r="I28" i="85" s="1"/>
  <c r="F13" i="77"/>
  <c r="I24" i="85"/>
  <c r="E23" i="85"/>
  <c r="I23" i="85" s="1"/>
  <c r="F28" i="85"/>
  <c r="H19" i="85"/>
  <c r="D18" i="85"/>
  <c r="H18" i="85" s="1"/>
  <c r="D149" i="77"/>
  <c r="I10" i="77"/>
  <c r="F151" i="77" l="1"/>
  <c r="F177" i="77"/>
  <c r="F11" i="77"/>
  <c r="D10" i="77"/>
  <c r="D32" i="92"/>
  <c r="D28" i="92" s="1"/>
  <c r="D11" i="92" s="1"/>
  <c r="D36" i="92" s="1"/>
  <c r="D174" i="77" l="1"/>
  <c r="F174" i="77" s="1"/>
  <c r="F175" i="77"/>
  <c r="F10" i="77"/>
  <c r="F149" i="77"/>
  <c r="D148" i="77"/>
  <c r="F148" i="77" s="1"/>
  <c r="I9" i="77"/>
  <c r="D9" i="77" l="1"/>
  <c r="K9" i="77" s="1"/>
  <c r="J9" i="77" l="1"/>
</calcChain>
</file>

<file path=xl/comments1.xml><?xml version="1.0" encoding="utf-8"?>
<comments xmlns="http://schemas.openxmlformats.org/spreadsheetml/2006/main">
  <authors>
    <author>Джалкин Мингиян Иванович</author>
  </authors>
  <commentList>
    <comment ref="J28" authorId="0" shapeId="0">
      <text>
        <r>
          <rPr>
            <b/>
            <sz val="9"/>
            <color indexed="81"/>
            <rFont val="Tahoma"/>
            <family val="2"/>
            <charset val="204"/>
          </rPr>
          <t>Джалкин Мингиян Иванович:</t>
        </r>
        <r>
          <rPr>
            <sz val="9"/>
            <color indexed="81"/>
            <rFont val="Tahoma"/>
            <family val="2"/>
            <charset val="204"/>
          </rPr>
          <t xml:space="preserve">
п.50 раздела 7 ПП РФ № 861
по временной схеме указывается только если уровень напряжения до 35 кВ</t>
        </r>
      </text>
    </comment>
  </commentList>
</comments>
</file>

<file path=xl/comments2.xml><?xml version="1.0" encoding="utf-8"?>
<comments xmlns="http://schemas.openxmlformats.org/spreadsheetml/2006/main">
  <authors>
    <author>1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Сумма средних за три года по категориям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Сумма средних за три года по категориям</t>
        </r>
      </text>
    </comment>
  </commentList>
</comments>
</file>

<file path=xl/sharedStrings.xml><?xml version="1.0" encoding="utf-8"?>
<sst xmlns="http://schemas.openxmlformats.org/spreadsheetml/2006/main" count="765" uniqueCount="276">
  <si>
    <t>1.5.</t>
  </si>
  <si>
    <t>1.5.1.</t>
  </si>
  <si>
    <t>1.5.2.</t>
  </si>
  <si>
    <t>1.5.3.</t>
  </si>
  <si>
    <t>1.5.3.1.</t>
  </si>
  <si>
    <t>1.5.3.2.</t>
  </si>
  <si>
    <t>1.5.3.3.</t>
  </si>
  <si>
    <t>1.5.3.4.</t>
  </si>
  <si>
    <t>1.5.3.5.</t>
  </si>
  <si>
    <t>1.6.</t>
  </si>
  <si>
    <t>1.6.1.</t>
  </si>
  <si>
    <t>1.6.2.</t>
  </si>
  <si>
    <t>1.6.3.</t>
  </si>
  <si>
    <t>1.6.4.</t>
  </si>
  <si>
    <t>3</t>
  </si>
  <si>
    <t>6-20</t>
  </si>
  <si>
    <t>3.5.</t>
  </si>
  <si>
    <t>Итого ставка платы за технологическое присоединение</t>
  </si>
  <si>
    <t xml:space="preserve"> </t>
  </si>
  <si>
    <t>1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</si>
  <si>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</si>
  <si>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</si>
  <si>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</si>
  <si>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1.1.</t>
  </si>
  <si>
    <t>1.2.</t>
  </si>
  <si>
    <t>1.3.</t>
  </si>
  <si>
    <t>1.4.</t>
  </si>
  <si>
    <t xml:space="preserve"> - работы и услуги производственного характера</t>
  </si>
  <si>
    <t xml:space="preserve"> - расходы на услуги банков</t>
  </si>
  <si>
    <t xml:space="preserve"> - % за пользование кредитом</t>
  </si>
  <si>
    <t>2.</t>
  </si>
  <si>
    <t>Единица измерения</t>
  </si>
  <si>
    <t>услуги связи</t>
  </si>
  <si>
    <t>3.1.</t>
  </si>
  <si>
    <t>3.2.</t>
  </si>
  <si>
    <t>3.3.</t>
  </si>
  <si>
    <t>3.4.</t>
  </si>
  <si>
    <t>0,4 кВ</t>
  </si>
  <si>
    <t>руб./кВт</t>
  </si>
  <si>
    <t>№
п/п</t>
  </si>
  <si>
    <t>Наименование мероприятия</t>
  </si>
  <si>
    <t xml:space="preserve">Напряжение, кВ </t>
  </si>
  <si>
    <t>2</t>
  </si>
  <si>
    <t>х</t>
  </si>
  <si>
    <t>п/п</t>
  </si>
  <si>
    <t>6-20 кВ</t>
  </si>
  <si>
    <t xml:space="preserve">более 670 кВт                                              </t>
  </si>
  <si>
    <t xml:space="preserve">более 670 кВт                                           </t>
  </si>
  <si>
    <t xml:space="preserve">другие прочие расходы, связанные с производством и реализацией </t>
  </si>
  <si>
    <t>Разработка сетевой организацией проектной документации по строительству "последней мили"</t>
  </si>
  <si>
    <t xml:space="preserve">от 15 до 150 кВт                                            </t>
  </si>
  <si>
    <t xml:space="preserve">от 15 до 150 кВт                                              </t>
  </si>
  <si>
    <t xml:space="preserve">свыше 150 кВт  до 670 кВт                             </t>
  </si>
  <si>
    <t xml:space="preserve">свыше 150 кВт  до 670 кВт                          </t>
  </si>
  <si>
    <t xml:space="preserve">свыше 150 кВт  до 670 кВт                         </t>
  </si>
  <si>
    <t xml:space="preserve">свыше 150 кВт  до 670 кВт                  </t>
  </si>
  <si>
    <t xml:space="preserve">Участие в осмотре должностным лицом Ростехнадзора присоединяемых Устройств </t>
  </si>
  <si>
    <t>Стандартизированная тарифная ставка платы для присоединения заявителей от 15 до 150 кВт включительно (С 1)</t>
  </si>
  <si>
    <t>Стандартизированная тарифная ставка платы для присоединения заявителей не менее 670 кВт (С 1)</t>
  </si>
  <si>
    <r>
      <t>Строительство 1 км воздушных линий электропередач для присоединения заявителей до</t>
    </r>
    <r>
      <rPr>
        <b/>
        <sz val="12"/>
        <rFont val="Times New Roman"/>
        <family val="1"/>
        <charset val="204"/>
      </rPr>
      <t xml:space="preserve"> 15 кВт </t>
    </r>
    <r>
      <rPr>
        <sz val="12"/>
        <rFont val="Times New Roman"/>
        <family val="1"/>
        <charset val="204"/>
      </rPr>
      <t>включительно (не льготники)</t>
    </r>
  </si>
  <si>
    <t>руб./км</t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</si>
  <si>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  <charset val="204"/>
      </rPr>
      <t xml:space="preserve">от 15 до 150 кВт </t>
    </r>
    <r>
      <rPr>
        <sz val="12"/>
        <rFont val="Times New Roman"/>
        <family val="1"/>
        <charset val="204"/>
      </rPr>
      <t>включительно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</si>
  <si>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  <charset val="204"/>
      </rPr>
      <t>от 150 и менее 670 кВт</t>
    </r>
    <r>
      <rPr>
        <sz val="12"/>
        <rFont val="Times New Roman"/>
        <family val="1"/>
        <charset val="204"/>
      </rPr>
      <t xml:space="preserve"> 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</si>
  <si>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  <charset val="204"/>
      </rPr>
      <t>от 670 кВт и до  890 кВт</t>
    </r>
    <r>
      <rPr>
        <sz val="12"/>
        <rFont val="Times New Roman"/>
        <family val="1"/>
        <charset val="204"/>
      </rPr>
      <t xml:space="preserve"> </t>
    </r>
  </si>
  <si>
    <r>
      <t>Строительство 1 км кабельных линий электропередач для присоединения заявителей до</t>
    </r>
    <r>
      <rPr>
        <b/>
        <sz val="12"/>
        <rFont val="Times New Roman"/>
        <family val="1"/>
        <charset val="204"/>
      </rPr>
      <t xml:space="preserve"> 15 кВт </t>
    </r>
    <r>
      <rPr>
        <sz val="12"/>
        <rFont val="Times New Roman"/>
        <family val="1"/>
        <charset val="204"/>
      </rPr>
      <t>включительно (не льготники)</t>
    </r>
  </si>
  <si>
    <r>
      <t xml:space="preserve">Строительство 1 км кабельных линий электропередач для присоединения заявителей </t>
    </r>
    <r>
      <rPr>
        <b/>
        <sz val="12"/>
        <rFont val="Times New Roman"/>
        <family val="1"/>
        <charset val="204"/>
      </rPr>
      <t xml:space="preserve">от 15 до 150 кВт </t>
    </r>
    <r>
      <rPr>
        <sz val="12"/>
        <rFont val="Times New Roman"/>
        <family val="1"/>
        <charset val="204"/>
      </rPr>
      <t>включительно</t>
    </r>
  </si>
  <si>
    <r>
      <t xml:space="preserve">Строительство 1 км кабельных  линий электропередач для присоединения заявителей </t>
    </r>
    <r>
      <rPr>
        <b/>
        <sz val="12"/>
        <rFont val="Times New Roman"/>
        <family val="1"/>
        <charset val="204"/>
      </rPr>
      <t>от 150 и менее 670 кВт</t>
    </r>
    <r>
      <rPr>
        <sz val="12"/>
        <rFont val="Times New Roman"/>
        <family val="1"/>
        <charset val="204"/>
      </rPr>
      <t xml:space="preserve"> </t>
    </r>
  </si>
  <si>
    <r>
      <t xml:space="preserve">Строительство 1 км кабельных линий электропередач для присоединения заявителей от </t>
    </r>
    <r>
      <rPr>
        <b/>
        <sz val="12"/>
        <rFont val="Times New Roman"/>
        <family val="1"/>
        <charset val="204"/>
      </rPr>
      <t xml:space="preserve"> 670 кВт до 890 кВт</t>
    </r>
  </si>
  <si>
    <r>
      <t xml:space="preserve">Строительство 1 км кабельных линий электропередач для присоединения заявителей от </t>
    </r>
    <r>
      <rPr>
        <b/>
        <sz val="12"/>
        <rFont val="Times New Roman"/>
        <family val="1"/>
        <charset val="204"/>
      </rPr>
      <t xml:space="preserve"> 890 кВт до 8900 кВт</t>
    </r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</si>
  <si>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  <charset val="204"/>
      </rPr>
      <t>не менее 670 кВт</t>
    </r>
  </si>
  <si>
    <r>
      <t>Строительство 1 кВт подстанции  для присоединения заявителей до</t>
    </r>
    <r>
      <rPr>
        <b/>
        <sz val="12"/>
        <rFont val="Times New Roman"/>
        <family val="1"/>
        <charset val="204"/>
      </rPr>
      <t xml:space="preserve"> 15 кВт </t>
    </r>
    <r>
      <rPr>
        <sz val="12"/>
        <rFont val="Times New Roman"/>
        <family val="1"/>
        <charset val="204"/>
      </rPr>
      <t>включительно (не льготники)</t>
    </r>
  </si>
  <si>
    <r>
      <t xml:space="preserve">Строительство 1 кВт подстанции для присоединения заявителей </t>
    </r>
    <r>
      <rPr>
        <b/>
        <sz val="12"/>
        <rFont val="Times New Roman"/>
        <family val="1"/>
        <charset val="204"/>
      </rPr>
      <t xml:space="preserve">от 15 до 150 кВт </t>
    </r>
    <r>
      <rPr>
        <sz val="12"/>
        <rFont val="Times New Roman"/>
        <family val="1"/>
        <charset val="204"/>
      </rPr>
      <t>включительно</t>
    </r>
  </si>
  <si>
    <r>
      <t xml:space="preserve">Строительство 1 кВт подстанции  для присоединения заявителей </t>
    </r>
    <r>
      <rPr>
        <b/>
        <sz val="12"/>
        <rFont val="Times New Roman"/>
        <family val="1"/>
        <charset val="204"/>
      </rPr>
      <t>от 150 и менее 670 кВт</t>
    </r>
    <r>
      <rPr>
        <sz val="12"/>
        <rFont val="Times New Roman"/>
        <family val="1"/>
        <charset val="204"/>
      </rPr>
      <t xml:space="preserve"> включительно</t>
    </r>
  </si>
  <si>
    <r>
      <t>Строительство 1 кВт подстанции  для присоединения заявителей от</t>
    </r>
    <r>
      <rPr>
        <b/>
        <sz val="12"/>
        <rFont val="Times New Roman"/>
        <family val="1"/>
        <charset val="204"/>
      </rPr>
      <t xml:space="preserve"> 670 кВт до 890 кВт включительно</t>
    </r>
  </si>
  <si>
    <r>
      <t>Строительство 1 кВт подстанции  для присоединения заявителей от</t>
    </r>
    <r>
      <rPr>
        <b/>
        <sz val="12"/>
        <rFont val="Times New Roman"/>
        <family val="1"/>
        <charset val="204"/>
      </rPr>
      <t xml:space="preserve"> 890 кВт до 8900 кВт включительно</t>
    </r>
  </si>
  <si>
    <r>
      <t xml:space="preserve">Строительство 1 кВт распределительного пункта для присоединения заявителей от </t>
    </r>
    <r>
      <rPr>
        <b/>
        <sz val="12"/>
        <rFont val="Times New Roman"/>
        <family val="1"/>
        <charset val="204"/>
      </rPr>
      <t>670 кВт до 890 кВт</t>
    </r>
  </si>
  <si>
    <r>
      <t xml:space="preserve">Строительство 1 кВт распределительного пункта для присоединения заявителей от </t>
    </r>
    <r>
      <rPr>
        <b/>
        <sz val="12"/>
        <rFont val="Times New Roman"/>
        <family val="1"/>
        <charset val="204"/>
      </rPr>
      <t>890 кВт до 8900 кВт</t>
    </r>
  </si>
  <si>
    <t xml:space="preserve"> - налоги и сборы, уменьшающие налогооблагаемую базу на прибыль организаций</t>
  </si>
  <si>
    <t>Стандартизированная тарифная ставка платы для присоединения заявителей до 15 кВт включительно (не льготники) (С 1)</t>
  </si>
  <si>
    <t>Стандартизированная тарифная ставка платы для присоединения заявителей от 150 и менее 670 кВт (С 1)</t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</si>
  <si>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  <charset val="204"/>
      </rPr>
      <t>от 890 кВт и до 8900 кВт</t>
    </r>
    <r>
      <rPr>
        <sz val="12"/>
        <rFont val="Times New Roman"/>
        <family val="1"/>
        <charset val="204"/>
      </rPr>
      <t xml:space="preserve"> </t>
    </r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</si>
  <si>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  <charset val="204"/>
      </rPr>
      <t>свыше 150 и менее 670 кВт</t>
    </r>
  </si>
  <si>
    <t>35 кВ</t>
  </si>
  <si>
    <t>110 кВ</t>
  </si>
  <si>
    <t>35</t>
  </si>
  <si>
    <t>110</t>
  </si>
  <si>
    <t>материал провода - медные жилы</t>
  </si>
  <si>
    <t>материал провода - алюминиевые жилы</t>
  </si>
  <si>
    <t>материал кабеля - медные жилы</t>
  </si>
  <si>
    <t>материал кабеля - алюминиевые жилы</t>
  </si>
  <si>
    <t>1.</t>
  </si>
  <si>
    <t>3.</t>
  </si>
  <si>
    <t>4.</t>
  </si>
  <si>
    <t>5.</t>
  </si>
  <si>
    <t>6.</t>
  </si>
  <si>
    <t>Показатели</t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</si>
  <si>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  <charset val="204"/>
      </rPr>
      <t>от 15 до 150 кВт</t>
    </r>
  </si>
  <si>
    <t xml:space="preserve">материал провода - медные жилы </t>
  </si>
  <si>
    <t>к стандартам раскрытия информации субъектами оптового и розничных рынков электрической энергии</t>
  </si>
  <si>
    <t>ПРОГНОЗНЫЕ СВЕДЕНИЯ</t>
  </si>
  <si>
    <t>о расходах за технологическое присоединение</t>
  </si>
  <si>
    <t>1. Полное наименование</t>
  </si>
  <si>
    <t>2. Сокращенное наименование</t>
  </si>
  <si>
    <t>3. Место нахождения</t>
  </si>
  <si>
    <t>4. Адрес юридического лица</t>
  </si>
  <si>
    <t>5. ИНН</t>
  </si>
  <si>
    <t>6. КПП</t>
  </si>
  <si>
    <t>7. Ф.И.О. руководителя</t>
  </si>
  <si>
    <t>8. Адрес электронной почты</t>
  </si>
  <si>
    <t>9. Контактный телефон</t>
  </si>
  <si>
    <t>10. Факс</t>
  </si>
  <si>
    <t>г. Ростов-на-Дону, ул. Большая Садовая, д. 49</t>
  </si>
  <si>
    <t>СТАНДАРТИЗИРОВАННЫЕ ТАРИФНЫЕ СТАВКИ</t>
  </si>
  <si>
    <t>Наименование стандартизированных тарифных ставок</t>
  </si>
  <si>
    <t>Стандартизированные тарифные ставки</t>
  </si>
  <si>
    <t>по постоянной схеме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</si>
  <si>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</si>
  <si>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Стандартизированная тарифная ставка на покрытие расходов на подготовку и выдачу сетевой организацией технических условий Заявителю (ТУ)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</si>
  <si>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</si>
  <si>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Стандартизированная тарифная ставка на покрытие расходов на проверку сетевой организацией выполнения заявителем  ТУ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</si>
  <si>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</si>
  <si>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РАСХОДЫ НА МЕРОПРИЯТИЯ,</t>
  </si>
  <si>
    <t>осуществляемые при технологическом присоединении</t>
  </si>
  <si>
    <t>(тыс. рублей)</t>
  </si>
  <si>
    <t>- прочие обоснованные расходы</t>
  </si>
  <si>
    <t>Наименование мероприятий</t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</si>
  <si>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свыше 150 и менее 670 кВт</t>
    </r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</si>
  <si>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от 15 до 150 кВт</t>
    </r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</si>
  <si>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не менее 670 кВт</t>
    </r>
  </si>
  <si>
    <t>Фактические расходы на строительство подстанций за 3 предыдущих года 
(тыс. рублей)</t>
  </si>
  <si>
    <t>1. Строительство пунктов секционирования (распределительных пунктов)</t>
  </si>
  <si>
    <t>2. Строительство комплектных трансформаторных подстанций и распределительных трансформаторных подстанций с уровнем напряжения до 35 кВт</t>
  </si>
  <si>
    <r>
      <t xml:space="preserve"> для присоединения заявителей до</t>
    </r>
    <r>
      <rPr>
        <b/>
        <sz val="12"/>
        <rFont val="Times New Roman"/>
        <family val="1"/>
        <charset val="204"/>
      </rPr>
      <t xml:space="preserve"> 15 кВт </t>
    </r>
    <r>
      <rPr>
        <sz val="12"/>
        <rFont val="Times New Roman"/>
        <family val="1"/>
        <charset val="204"/>
      </rPr>
      <t>включительно (не льготники)</t>
    </r>
  </si>
  <si>
    <r>
      <t xml:space="preserve">для присоединения заявителей </t>
    </r>
    <r>
      <rPr>
        <b/>
        <sz val="12"/>
        <rFont val="Times New Roman"/>
        <family val="1"/>
        <charset val="204"/>
      </rPr>
      <t xml:space="preserve">от 15 до 150 кВт </t>
    </r>
    <r>
      <rPr>
        <sz val="12"/>
        <rFont val="Times New Roman"/>
        <family val="1"/>
        <charset val="204"/>
      </rPr>
      <t>включительно</t>
    </r>
  </si>
  <si>
    <r>
      <t xml:space="preserve">для присоединения заявителей </t>
    </r>
    <r>
      <rPr>
        <b/>
        <sz val="12"/>
        <rFont val="Times New Roman"/>
        <family val="1"/>
        <charset val="204"/>
      </rPr>
      <t>от 150 и менее 670 кВт</t>
    </r>
    <r>
      <rPr>
        <sz val="12"/>
        <rFont val="Times New Roman"/>
        <family val="1"/>
        <charset val="204"/>
      </rPr>
      <t xml:space="preserve">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</si>
  <si>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  <charset val="204"/>
      </rPr>
      <t xml:space="preserve"> 670 кВт до 890 кВт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</si>
  <si>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  <charset val="204"/>
      </rPr>
      <t xml:space="preserve"> 890 кВт до 8900 кВт включительно</t>
    </r>
  </si>
  <si>
    <t>3. Строительство центров питания и подстанций уровнем напряжения 35 кВ и выше</t>
  </si>
  <si>
    <t>ФАКТИЧЕСКИЕ СРЕДНИЕ ДАННЫЕ
о присоединенных объемах максимальной мощности за 3 предыдущих года по каждому мероприятию</t>
  </si>
  <si>
    <t>ФАКТИЧЕСКИЕ СРЕДНИЕ ДАННЫЕ
о длине линий электропередачи и об объемах максимальной мощности построенных объектов за 3 предыдущих года по каждому мероприятию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</si>
  <si>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</si>
  <si>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1. Строительство кабельных линий электропередачи:</t>
  </si>
  <si>
    <t xml:space="preserve"> 0,4 кВ</t>
  </si>
  <si>
    <t>1-20 кВ</t>
  </si>
  <si>
    <t>2. Строительство воздушных линий электропередачи:</t>
  </si>
  <si>
    <t>Объем максимальной мощности, присоединяемой путем строительства воздушных или кабельных линий за последние
 3 года (кВт)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</si>
  <si>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</si>
  <si>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>Объем мощности, введенной в основные фонды за 3 предыдущих года (кВт)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</si>
  <si>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</si>
  <si>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</si>
  <si>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</si>
  <si>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</si>
  <si>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</si>
  <si>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</si>
  <si>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</si>
  <si>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в том числе</t>
  </si>
  <si>
    <t xml:space="preserve">строительство кабельных линий </t>
  </si>
  <si>
    <t>строительство пунктов секционирования</t>
  </si>
  <si>
    <t>льготная категория*</t>
  </si>
  <si>
    <t>От 15 до 150 кВт - всего</t>
  </si>
  <si>
    <t>льготная категория**</t>
  </si>
  <si>
    <t>От 150 до 670 кВт - всего</t>
  </si>
  <si>
    <t>по индивидуальному проекту</t>
  </si>
  <si>
    <t>От 670 до 8900 кВт - всего</t>
  </si>
  <si>
    <t>От 8900 кВт - всего</t>
  </si>
  <si>
    <t>Объекты генерации</t>
  </si>
  <si>
    <t>*</t>
  </si>
  <si>
    <t>**</t>
  </si>
  <si>
    <t>Заявители, оплачивающие технологическое присоединение своих энергопринимающих устройств в размере не более 550 рублей.</t>
  </si>
  <si>
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</si>
  <si>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</si>
  <si>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Плановые показатели на следующий период</t>
  </si>
  <si>
    <t>Расходы по выполнению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</si>
  <si>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</si>
  <si>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</si>
  <si>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</si>
  <si>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 xml:space="preserve">оплата труда </t>
  </si>
  <si>
    <t>отчисления на страховые взносы</t>
  </si>
  <si>
    <t>прочие расходы - всего</t>
  </si>
  <si>
    <t>из них:</t>
  </si>
  <si>
    <t xml:space="preserve"> - работы и услуги непроизводственного характера - всего</t>
  </si>
  <si>
    <t>внереализационные расходы - всего</t>
  </si>
  <si>
    <t xml:space="preserve"> - денежные выплаты социального характера (по коллективному договору)</t>
  </si>
  <si>
    <t>Расходы на строительство  объектов 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</si>
  <si>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</si>
  <si>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Распределение необходимой валовой выручки* 
(рублей)</t>
  </si>
  <si>
    <t>Объем максимальной мощности (кВт)</t>
  </si>
  <si>
    <t>Ставки для расчета платы по каждому мероприятию (рублей/ кВт) (без учета НДС)</t>
  </si>
  <si>
    <t>Подготовка и выдача сетевой организацией технических условий заявителю:</t>
  </si>
  <si>
    <t xml:space="preserve">строительство воздушных линий </t>
  </si>
  <si>
    <t>строительство комплексных трансформаторных подстанций, распределительных трансформаторных подстанций с классом напряжения до 35 кВ</t>
  </si>
  <si>
    <t>строительство центров питания, подстанций классом напряжения 35 кВ и выше</t>
  </si>
  <si>
    <t>Проверка сетевой организацией выполнения заявителем технических условий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</si>
  <si>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</si>
  <si>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</si>
  <si>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Согласно приложению №1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</si>
  <si>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</si>
  <si>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b/>
        <sz val="8"/>
        <rFont val="Times New Roman"/>
        <family val="1"/>
        <charset val="204"/>
      </rPr>
      <t>1.1</t>
    </r>
  </si>
  <si>
    <r>
      <t>С</t>
    </r>
    <r>
      <rPr>
        <b/>
        <sz val="8"/>
        <rFont val="Times New Roman"/>
        <family val="1"/>
        <charset val="204"/>
      </rPr>
      <t>1</t>
    </r>
  </si>
  <si>
    <r>
      <t>С</t>
    </r>
    <r>
      <rPr>
        <b/>
        <sz val="8"/>
        <rFont val="Times New Roman"/>
        <family val="1"/>
        <charset val="204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</si>
  <si>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</si>
  <si>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r>
      <t>С</t>
    </r>
    <r>
      <rPr>
        <b/>
        <sz val="8"/>
        <rFont val="Times New Roman"/>
        <family val="1"/>
        <charset val="204"/>
      </rPr>
      <t>1.3</t>
    </r>
    <r>
      <rPr>
        <sz val="10"/>
        <rFont val="Arial Cyr"/>
        <charset val="204"/>
      </rPr>
      <t/>
    </r>
  </si>
  <si>
    <r>
      <t>С</t>
    </r>
    <r>
      <rPr>
        <b/>
        <sz val="8"/>
        <rFont val="Times New Roman"/>
        <family val="1"/>
        <charset val="204"/>
      </rPr>
      <t>1.4</t>
    </r>
    <r>
      <rPr>
        <sz val="10"/>
        <rFont val="Arial Cyr"/>
        <charset val="204"/>
      </rPr>
      <t/>
    </r>
  </si>
  <si>
    <r>
      <t>С</t>
    </r>
    <r>
      <rPr>
        <b/>
        <sz val="8"/>
        <rFont val="Times New Roman"/>
        <family val="1"/>
        <charset val="204"/>
      </rPr>
      <t>2,i</t>
    </r>
    <r>
      <rPr>
        <b/>
        <sz val="12"/>
        <rFont val="Times New Roman"/>
        <family val="1"/>
        <charset val="204"/>
      </rPr>
      <t>*</t>
    </r>
  </si>
  <si>
    <r>
      <t>С</t>
    </r>
    <r>
      <rPr>
        <b/>
        <sz val="8"/>
        <rFont val="Times New Roman"/>
        <family val="1"/>
        <charset val="204"/>
      </rPr>
      <t>3,i</t>
    </r>
    <r>
      <rPr>
        <b/>
        <sz val="12"/>
        <rFont val="Times New Roman"/>
        <family val="1"/>
        <charset val="204"/>
      </rPr>
      <t>*</t>
    </r>
  </si>
  <si>
    <r>
      <t>С</t>
    </r>
    <r>
      <rPr>
        <b/>
        <sz val="8"/>
        <rFont val="Times New Roman"/>
        <family val="1"/>
        <charset val="204"/>
      </rPr>
      <t>4,i</t>
    </r>
    <r>
      <rPr>
        <b/>
        <sz val="12"/>
        <rFont val="Times New Roman"/>
        <family val="1"/>
        <charset val="204"/>
      </rPr>
      <t>*</t>
    </r>
  </si>
  <si>
    <t>Ставки платы С2,i, С3,i и С4,i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</t>
  </si>
  <si>
    <t>до 15 кВт включительно  (не льготная категория заявителей)</t>
  </si>
  <si>
    <t>до 15 кВт включительно (не льготная категория заявителей)</t>
  </si>
  <si>
    <t>В связи с тем, что мероприятия для технологического присоединения с применением временной схемы электроснабжения идентичны мероприятиям для технологического присоединения с постоянной схемой электроснабжения и требуют того же объема трудозатрат, стандартизированная тарифная ставка С1 для временной схемы электроснабжения равна стандартизированной тарифной ставке С1 для постоянной схемы электроснабжения.</t>
  </si>
  <si>
    <t>по временной схеме **</t>
  </si>
  <si>
    <t>….</t>
  </si>
  <si>
    <t>***</t>
  </si>
  <si>
    <t>ИНФОРМАЦИЯ
о поданных заявках на технологическое присоединение за текущий год ***</t>
  </si>
  <si>
    <t>ИНФОРМАЦИЯ
об осуществлении технологического присоединения по договорам, заключенным за текущий год ***</t>
  </si>
  <si>
    <t>Итого (размер необходимой валовой выручки)*</t>
  </si>
  <si>
    <t>*-</t>
  </si>
  <si>
    <t xml:space="preserve">с учетом выпадающих доходов (некомпенсированных расходов) от предоставления льгот по договорам ТП </t>
  </si>
  <si>
    <t>С 01 октября 2015г при технологическом присоединении Заявителя, осуществляющего технологическое присоединение своих энергопринимающих устройств максимальной мощностью до 150 кВт, в плате за технологическое присоединение указанных Заявителей стоимость мероприятий "последней мили" учитывается в размере не более 50%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</si>
  <si>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при присоединении по III категории надежности электроснабжения в базовых ценах 2001 года***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</si>
  <si>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при присоединении по III категории надежности электроснабжения в базовых ценах 2001 года***</t>
  </si>
  <si>
    <t>Стандартизированная тарифная ставка на покрытие расходов сетевой организации на строительство подстанций при присоединении по III категории надежности электроснабжения в базовых ценах 2001 года***</t>
  </si>
  <si>
    <t>Стандартизированная тарифная ставка на покрытие расходов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в части расходов на строительство подстанций в базовых ценах 2001 года***</t>
  </si>
  <si>
    <t>Выполнение сетевой организацией мероприятий, связанных со строительством "последней мили"***</t>
  </si>
  <si>
    <t>С 01 октября 2015г размер включаемых в состав платы за технологическое присоединение энергопринимающих устройств максимальной мощностью не более 150 кВт инвестиционной составляющей на покрытие расходов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не может составлять более чем 50 процентов от величины указанных расходов.</t>
  </si>
  <si>
    <t>Приложение 13.2 к приказу / Приложение № 2</t>
  </si>
  <si>
    <t>Приложение 13.3 к приказу / Приложение № 3</t>
  </si>
  <si>
    <t>Приложения 13.4 к приказу / Приложение № 4</t>
  </si>
  <si>
    <t>Приложения 13.5 к приказу / Приложение № 5</t>
  </si>
  <si>
    <t>Приложения 13.6 к приказу / Приложение № 6</t>
  </si>
  <si>
    <t>Приложения 13.7 к приказу / Приложение № 7</t>
  </si>
  <si>
    <t>Приложения 13.8 к приказу / Приложение № 8</t>
  </si>
  <si>
    <t>Приложения 13.9 к приказу / Приложение № 9</t>
  </si>
  <si>
    <t>Филиал ПАО "МРСК Юга" - "Калмэнерго"</t>
  </si>
  <si>
    <t>Филиал Публичного акционерного общества "Межрегиональная распределительная сетевая компания юга" - "Калмэнерго"</t>
  </si>
  <si>
    <t>г. Элиста, Северная промзона</t>
  </si>
  <si>
    <t>для расчета платы за технолоогическое присоединение к территориальным распределительным сетям на уровне напряжения ниже 35 кВ и присоединяемой мощностью менее 8 900 кВт филиала ПАО "МРСК Юга" - "Калмэнерго"</t>
  </si>
  <si>
    <t>Алаев Т.У. - заместитель генерального директора - директора филиала ПАО "МРСК Юга" - "Калмэнерго"</t>
  </si>
  <si>
    <t>priem@ke.mrsk-yuga.ru</t>
  </si>
  <si>
    <t>(84722) 4-24-10</t>
  </si>
  <si>
    <t>(84722) 4-41-96</t>
  </si>
  <si>
    <t>ТП-10/0,4кВ 25 кВА</t>
  </si>
  <si>
    <t>СТП-10/0,4кВ 25 кВА</t>
  </si>
  <si>
    <t>МТП 10/0,23 кВ 10 кВА</t>
  </si>
  <si>
    <t>КТП-10/0,4кВ мощностью 400 кВА</t>
  </si>
  <si>
    <t>КТП-10/0,4кВ мощностью 63 кВА</t>
  </si>
  <si>
    <t>РАСЧЕТ
необходимой валовой выручки на технологическое присоединение
 филиала ПАО "МРСК Юга" - "Калмэнерго"</t>
  </si>
  <si>
    <t>2014г</t>
  </si>
  <si>
    <t>2015г</t>
  </si>
  <si>
    <t>2016г ожид</t>
  </si>
  <si>
    <t>до 15 кВт льготники</t>
  </si>
  <si>
    <t xml:space="preserve">свыше 150 кВт </t>
  </si>
  <si>
    <t>от 15 кВт до 150 кВт</t>
  </si>
  <si>
    <t>до 15 кВт нельготники</t>
  </si>
  <si>
    <t>руб.</t>
  </si>
  <si>
    <t>кВт</t>
  </si>
  <si>
    <t>От УКС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</si>
  <si>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
на 1 км. (тыс. рублей)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</si>
  <si>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на 1 кВт (тыс. рублей) </t>
  </si>
  <si>
    <t>Срвзв</t>
  </si>
  <si>
    <t>Средняя</t>
  </si>
  <si>
    <t>т.р.</t>
  </si>
  <si>
    <t>км</t>
  </si>
  <si>
    <t>Средняя по всем категориям</t>
  </si>
  <si>
    <t>сумма за три года</t>
  </si>
  <si>
    <r>
      <t>для присоединения заявителей до</t>
    </r>
    <r>
      <rPr>
        <b/>
        <sz val="12"/>
        <rFont val="Times New Roman"/>
        <family val="1"/>
        <charset val="204"/>
      </rPr>
      <t xml:space="preserve"> 15 кВт </t>
    </r>
    <r>
      <rPr>
        <sz val="12"/>
        <rFont val="Times New Roman"/>
        <family val="1"/>
        <charset val="204"/>
      </rPr>
      <t>включительно (не льготники)</t>
    </r>
  </si>
  <si>
    <r>
      <t>для присоединения заявителей до</t>
    </r>
    <r>
      <rPr>
        <b/>
        <sz val="12"/>
        <rFont val="Times New Roman"/>
        <family val="1"/>
        <charset val="204"/>
      </rPr>
      <t xml:space="preserve"> 15 кВт </t>
    </r>
    <r>
      <rPr>
        <sz val="12"/>
        <rFont val="Times New Roman"/>
        <family val="1"/>
        <charset val="204"/>
      </rPr>
      <t>включительно (льготники)</t>
    </r>
  </si>
  <si>
    <t>Срвзв ставка</t>
  </si>
  <si>
    <t>Средняя ставка</t>
  </si>
  <si>
    <t>филиала ПАО "МРСК Юга" - "Калмэнерго" на 2018 год</t>
  </si>
  <si>
    <t>на 2018 год</t>
  </si>
  <si>
    <t>2016г</t>
  </si>
  <si>
    <t>участника объединения</t>
  </si>
  <si>
    <t>Ожидаемые факт за 2017 год</t>
  </si>
  <si>
    <t>Данные представлены оперативно на 01.10.2017г.</t>
  </si>
  <si>
    <t>до 15 кВт включительно (льготная категория заявителей)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</si>
</sst>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_$_-;\-* #,##0.00_$_-;_-* &quot;-&quot;??_$_-;_-@_-"/>
    <numFmt numFmtId="167" formatCode="#,##0.000"/>
    <numFmt numFmtId="168" formatCode="_-* #,##0.0_р_._-;\-* #,##0.0_р_._-;_-* &quot;-&quot;_р_._-;_-@_-"/>
    <numFmt numFmtId="169" formatCode="_-* #,##0.000_$_-;\-* #,##0.000_$_-;_-* &quot;-&quot;??_$_-;_-@_-"/>
    <numFmt numFmtId="170" formatCode="_-* #,##0.000_р_._-;\-* #,##0.000_р_._-;_-* &quot;-&quot;???_р_._-;_-@_-"/>
    <numFmt numFmtId="171" formatCode="#,##0.00_ ;[Red]\-#,##0.00\ "/>
    <numFmt numFmtId="172" formatCode="_-* #,##0.00_р_._-;\-* #,##0.00_р_._-;_-* &quot;-&quot;???_р_._-;_-@_-"/>
    <numFmt numFmtId="173" formatCode="_-* #,##0_р_._-;\-* #,##0_р_._-;_-* &quot;-&quot;???_р_._-;_-@_-"/>
  </numFmts>
  <fonts count="2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4"/>
      <name val="Arial Cyr"/>
      <charset val="204"/>
    </font>
    <font>
      <sz val="10"/>
      <name val="Helv"/>
    </font>
    <font>
      <sz val="16"/>
      <name val="Times New Roman"/>
      <family val="1"/>
      <charset val="204"/>
    </font>
    <font>
      <b/>
      <sz val="10"/>
      <name val="Arial Cyr"/>
      <charset val="204"/>
    </font>
    <font>
      <b/>
      <sz val="18"/>
      <name val="Times New Roman"/>
      <family val="1"/>
      <charset val="204"/>
    </font>
    <font>
      <sz val="14"/>
      <name val="Arial"/>
      <family val="2"/>
      <charset val="204"/>
    </font>
    <font>
      <b/>
      <sz val="13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9"/>
      <name val="Tahoma"/>
      <family val="2"/>
      <charset val="204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0" fontId="2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" fillId="0" borderId="0"/>
    <xf numFmtId="0" fontId="19" fillId="0" borderId="0"/>
    <xf numFmtId="0" fontId="24" fillId="0" borderId="0"/>
    <xf numFmtId="0" fontId="8" fillId="0" borderId="0"/>
    <xf numFmtId="0" fontId="8" fillId="0" borderId="0"/>
    <xf numFmtId="0" fontId="1" fillId="0" borderId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1" fillId="0" borderId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21" fillId="2" borderId="0" applyBorder="0">
      <alignment horizontal="right"/>
    </xf>
    <xf numFmtId="166" fontId="1" fillId="0" borderId="0" applyFont="0" applyFill="0" applyBorder="0" applyAlignment="0" applyProtection="0"/>
  </cellStyleXfs>
  <cellXfs count="341">
    <xf numFmtId="0" fontId="0" fillId="0" borderId="0" xfId="0"/>
    <xf numFmtId="0" fontId="0" fillId="0" borderId="0" xfId="0" applyFill="1"/>
    <xf numFmtId="0" fontId="7" fillId="0" borderId="0" xfId="0" applyFont="1"/>
    <xf numFmtId="49" fontId="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5" fillId="0" borderId="0" xfId="0" applyFont="1"/>
    <xf numFmtId="0" fontId="10" fillId="0" borderId="0" xfId="0" applyFont="1"/>
    <xf numFmtId="0" fontId="8" fillId="0" borderId="0" xfId="9"/>
    <xf numFmtId="0" fontId="15" fillId="0" borderId="0" xfId="9" applyFont="1"/>
    <xf numFmtId="0" fontId="8" fillId="0" borderId="0" xfId="9" applyFill="1"/>
    <xf numFmtId="0" fontId="12" fillId="0" borderId="0" xfId="9" applyFont="1" applyFill="1" applyAlignment="1">
      <alignment wrapText="1"/>
    </xf>
    <xf numFmtId="0" fontId="3" fillId="0" borderId="0" xfId="0" applyFont="1" applyFill="1" applyBorder="1" applyAlignment="1">
      <alignment horizontal="center"/>
    </xf>
    <xf numFmtId="0" fontId="16" fillId="0" borderId="0" xfId="10" applyFont="1" applyAlignment="1"/>
    <xf numFmtId="0" fontId="16" fillId="0" borderId="0" xfId="10" applyFont="1" applyAlignment="1">
      <alignment horizontal="center"/>
    </xf>
    <xf numFmtId="0" fontId="8" fillId="0" borderId="0" xfId="9" applyAlignment="1">
      <alignment horizontal="center" vertical="center"/>
    </xf>
    <xf numFmtId="0" fontId="17" fillId="0" borderId="0" xfId="9" applyFont="1"/>
    <xf numFmtId="0" fontId="16" fillId="0" borderId="0" xfId="10" applyFont="1" applyAlignment="1">
      <alignment horizontal="center" vertical="center" wrapText="1"/>
    </xf>
    <xf numFmtId="0" fontId="8" fillId="0" borderId="0" xfId="9" applyAlignment="1">
      <alignment horizontal="center" vertical="center" wrapText="1"/>
    </xf>
    <xf numFmtId="0" fontId="0" fillId="0" borderId="0" xfId="0" applyBorder="1"/>
    <xf numFmtId="49" fontId="4" fillId="0" borderId="1" xfId="10" applyNumberFormat="1" applyFont="1" applyBorder="1" applyAlignment="1">
      <alignment horizontal="center"/>
    </xf>
    <xf numFmtId="49" fontId="5" fillId="0" borderId="1" xfId="10" applyNumberFormat="1" applyFont="1" applyBorder="1" applyAlignment="1">
      <alignment horizontal="center"/>
    </xf>
    <xf numFmtId="49" fontId="4" fillId="0" borderId="2" xfId="10" applyNumberFormat="1" applyFont="1" applyFill="1" applyBorder="1" applyAlignment="1">
      <alignment horizontal="center" vertical="center"/>
    </xf>
    <xf numFmtId="0" fontId="3" fillId="0" borderId="0" xfId="0" applyFont="1"/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3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3" fontId="2" fillId="3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0" fillId="3" borderId="0" xfId="0" applyFill="1"/>
    <xf numFmtId="0" fontId="12" fillId="0" borderId="0" xfId="9" applyFont="1" applyFill="1" applyAlignment="1">
      <alignment horizontal="right" wrapText="1"/>
    </xf>
    <xf numFmtId="4" fontId="2" fillId="3" borderId="3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0" xfId="0" applyFont="1" applyFill="1" applyAlignment="1">
      <alignment horizontal="right"/>
    </xf>
    <xf numFmtId="0" fontId="7" fillId="0" borderId="0" xfId="8" applyFont="1" applyFill="1" applyAlignment="1">
      <alignment horizontal="right" vertical="center" wrapText="1"/>
    </xf>
    <xf numFmtId="0" fontId="7" fillId="0" borderId="0" xfId="8" applyFont="1" applyFill="1" applyAlignment="1">
      <alignment vertical="center" wrapText="1"/>
    </xf>
    <xf numFmtId="0" fontId="7" fillId="0" borderId="0" xfId="10" applyFont="1" applyAlignment="1">
      <alignment horizontal="right"/>
    </xf>
    <xf numFmtId="3" fontId="3" fillId="3" borderId="3" xfId="9" applyNumberFormat="1" applyFont="1" applyFill="1" applyBorder="1" applyAlignment="1">
      <alignment horizontal="left" vertical="center" wrapText="1"/>
    </xf>
    <xf numFmtId="4" fontId="3" fillId="3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4" fillId="3" borderId="15" xfId="1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49" fontId="4" fillId="0" borderId="20" xfId="10" applyNumberFormat="1" applyFont="1" applyBorder="1" applyAlignment="1">
      <alignment horizontal="center"/>
    </xf>
    <xf numFmtId="0" fontId="18" fillId="0" borderId="0" xfId="8" applyFont="1" applyFill="1" applyAlignment="1">
      <alignment vertical="center" wrapText="1"/>
    </xf>
    <xf numFmtId="0" fontId="5" fillId="0" borderId="18" xfId="9" applyFont="1" applyFill="1" applyBorder="1" applyAlignment="1">
      <alignment horizontal="center" vertical="center" wrapText="1"/>
    </xf>
    <xf numFmtId="0" fontId="5" fillId="0" borderId="18" xfId="9" applyFont="1" applyFill="1" applyBorder="1" applyAlignment="1">
      <alignment vertical="center" wrapText="1"/>
    </xf>
    <xf numFmtId="0" fontId="5" fillId="3" borderId="3" xfId="9" applyFont="1" applyFill="1" applyBorder="1" applyAlignment="1">
      <alignment horizontal="center" vertical="center" wrapText="1"/>
    </xf>
    <xf numFmtId="0" fontId="5" fillId="3" borderId="14" xfId="9" applyFont="1" applyFill="1" applyBorder="1" applyAlignment="1">
      <alignment horizontal="center" vertical="center" wrapText="1"/>
    </xf>
    <xf numFmtId="0" fontId="5" fillId="3" borderId="3" xfId="9" applyFont="1" applyFill="1" applyBorder="1" applyAlignment="1">
      <alignment horizontal="center" wrapText="1"/>
    </xf>
    <xf numFmtId="0" fontId="5" fillId="0" borderId="3" xfId="9" applyFont="1" applyFill="1" applyBorder="1" applyAlignment="1">
      <alignment horizontal="center" vertical="center" wrapText="1"/>
    </xf>
    <xf numFmtId="3" fontId="4" fillId="0" borderId="3" xfId="9" applyNumberFormat="1" applyFont="1" applyFill="1" applyBorder="1" applyAlignment="1">
      <alignment horizontal="left" vertical="center" wrapText="1"/>
    </xf>
    <xf numFmtId="166" fontId="4" fillId="3" borderId="3" xfId="14" applyFont="1" applyFill="1" applyBorder="1" applyAlignment="1">
      <alignment horizontal="center" vertical="center" wrapText="1"/>
    </xf>
    <xf numFmtId="166" fontId="5" fillId="3" borderId="14" xfId="14" applyFont="1" applyFill="1" applyBorder="1" applyAlignment="1">
      <alignment horizontal="center" vertical="center" wrapText="1"/>
    </xf>
    <xf numFmtId="0" fontId="4" fillId="0" borderId="3" xfId="9" applyFont="1" applyFill="1" applyBorder="1" applyAlignment="1">
      <alignment horizontal="center" vertical="center" wrapText="1"/>
    </xf>
    <xf numFmtId="166" fontId="4" fillId="3" borderId="14" xfId="14" applyFont="1" applyFill="1" applyBorder="1" applyAlignment="1">
      <alignment horizontal="center" vertical="center" wrapText="1"/>
    </xf>
    <xf numFmtId="0" fontId="5" fillId="0" borderId="3" xfId="9" applyFont="1" applyFill="1" applyBorder="1" applyAlignment="1">
      <alignment vertical="center" wrapText="1"/>
    </xf>
    <xf numFmtId="0" fontId="5" fillId="0" borderId="3" xfId="8" applyFont="1" applyFill="1" applyBorder="1" applyAlignment="1">
      <alignment horizontal="center" vertical="center" wrapText="1"/>
    </xf>
    <xf numFmtId="166" fontId="5" fillId="3" borderId="3" xfId="14" applyFont="1" applyFill="1" applyBorder="1" applyAlignment="1">
      <alignment horizontal="center" vertical="center" wrapText="1"/>
    </xf>
    <xf numFmtId="3" fontId="5" fillId="0" borderId="3" xfId="9" applyNumberFormat="1" applyFont="1" applyFill="1" applyBorder="1" applyAlignment="1">
      <alignment horizontal="left" vertical="center" wrapText="1"/>
    </xf>
    <xf numFmtId="49" fontId="5" fillId="0" borderId="3" xfId="8" applyNumberFormat="1" applyFont="1" applyFill="1" applyBorder="1" applyAlignment="1">
      <alignment horizontal="center" vertical="center" wrapText="1"/>
    </xf>
    <xf numFmtId="49" fontId="5" fillId="0" borderId="3" xfId="9" applyNumberFormat="1" applyFont="1" applyFill="1" applyBorder="1" applyAlignment="1">
      <alignment horizontal="center" vertical="center" wrapText="1"/>
    </xf>
    <xf numFmtId="49" fontId="4" fillId="0" borderId="3" xfId="9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vertical="center" wrapText="1"/>
    </xf>
    <xf numFmtId="0" fontId="5" fillId="0" borderId="5" xfId="8" applyFont="1" applyFill="1" applyBorder="1" applyAlignment="1">
      <alignment horizontal="center" vertical="center" wrapText="1"/>
    </xf>
    <xf numFmtId="166" fontId="5" fillId="3" borderId="5" xfId="14" applyFont="1" applyFill="1" applyBorder="1" applyAlignment="1">
      <alignment horizontal="center" vertical="center" wrapText="1"/>
    </xf>
    <xf numFmtId="166" fontId="5" fillId="3" borderId="21" xfId="14" applyFont="1" applyFill="1" applyBorder="1" applyAlignment="1">
      <alignment horizontal="center" vertical="center" wrapText="1"/>
    </xf>
    <xf numFmtId="0" fontId="5" fillId="0" borderId="7" xfId="9" applyFont="1" applyFill="1" applyBorder="1" applyAlignment="1">
      <alignment horizontal="center" vertical="center" wrapText="1"/>
    </xf>
    <xf numFmtId="0" fontId="5" fillId="0" borderId="7" xfId="8" applyFont="1" applyFill="1" applyBorder="1" applyAlignment="1">
      <alignment horizontal="center" vertical="center" wrapText="1"/>
    </xf>
    <xf numFmtId="166" fontId="5" fillId="3" borderId="7" xfId="14" applyFont="1" applyFill="1" applyBorder="1" applyAlignment="1">
      <alignment horizontal="center" vertical="center" wrapText="1"/>
    </xf>
    <xf numFmtId="166" fontId="5" fillId="3" borderId="22" xfId="14" applyFont="1" applyFill="1" applyBorder="1" applyAlignment="1">
      <alignment horizontal="center" vertical="center" wrapText="1"/>
    </xf>
    <xf numFmtId="0" fontId="5" fillId="0" borderId="9" xfId="9" applyFont="1" applyFill="1" applyBorder="1" applyAlignment="1">
      <alignment horizontal="center" vertical="center" wrapText="1"/>
    </xf>
    <xf numFmtId="0" fontId="5" fillId="0" borderId="9" xfId="8" applyFont="1" applyFill="1" applyBorder="1" applyAlignment="1">
      <alignment horizontal="center" vertical="center" wrapText="1"/>
    </xf>
    <xf numFmtId="166" fontId="5" fillId="3" borderId="9" xfId="14" applyFont="1" applyFill="1" applyBorder="1" applyAlignment="1">
      <alignment horizontal="center" vertical="center" wrapText="1"/>
    </xf>
    <xf numFmtId="166" fontId="5" fillId="3" borderId="23" xfId="14" applyFont="1" applyFill="1" applyBorder="1" applyAlignment="1">
      <alignment horizontal="center" vertical="center" wrapText="1"/>
    </xf>
    <xf numFmtId="3" fontId="5" fillId="0" borderId="5" xfId="9" applyNumberFormat="1" applyFont="1" applyFill="1" applyBorder="1" applyAlignment="1">
      <alignment horizontal="left" vertical="center" wrapText="1"/>
    </xf>
    <xf numFmtId="49" fontId="5" fillId="0" borderId="5" xfId="8" applyNumberFormat="1" applyFont="1" applyFill="1" applyBorder="1" applyAlignment="1">
      <alignment horizontal="center" vertical="center" wrapText="1"/>
    </xf>
    <xf numFmtId="49" fontId="5" fillId="0" borderId="7" xfId="8" applyNumberFormat="1" applyFont="1" applyFill="1" applyBorder="1" applyAlignment="1">
      <alignment horizontal="center" vertical="center" wrapText="1"/>
    </xf>
    <xf numFmtId="49" fontId="5" fillId="0" borderId="9" xfId="8" applyNumberFormat="1" applyFont="1" applyFill="1" applyBorder="1" applyAlignment="1">
      <alignment horizontal="center" vertical="center" wrapText="1"/>
    </xf>
    <xf numFmtId="49" fontId="5" fillId="0" borderId="5" xfId="9" applyNumberFormat="1" applyFont="1" applyFill="1" applyBorder="1" applyAlignment="1">
      <alignment horizontal="center" vertical="center" wrapText="1"/>
    </xf>
    <xf numFmtId="49" fontId="5" fillId="0" borderId="7" xfId="9" applyNumberFormat="1" applyFont="1" applyFill="1" applyBorder="1" applyAlignment="1">
      <alignment horizontal="center" vertical="center" wrapText="1"/>
    </xf>
    <xf numFmtId="49" fontId="5" fillId="0" borderId="9" xfId="9" applyNumberFormat="1" applyFont="1" applyFill="1" applyBorder="1" applyAlignment="1">
      <alignment horizontal="center" vertical="center" wrapText="1"/>
    </xf>
    <xf numFmtId="0" fontId="5" fillId="0" borderId="0" xfId="9" applyFont="1" applyAlignment="1">
      <alignment horizontal="right" vertical="top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" fillId="0" borderId="0" xfId="9" applyFont="1" applyAlignment="1">
      <alignment horizontal="right" vertical="top"/>
    </xf>
    <xf numFmtId="0" fontId="4" fillId="0" borderId="0" xfId="0" applyFont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9" applyFont="1" applyAlignment="1">
      <alignment horizontal="left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4" fontId="0" fillId="3" borderId="0" xfId="0" applyNumberFormat="1" applyFill="1" applyBorder="1" applyAlignment="1">
      <alignment vertical="center" wrapText="1"/>
    </xf>
    <xf numFmtId="4" fontId="0" fillId="3" borderId="0" xfId="0" applyNumberFormat="1" applyFill="1" applyBorder="1"/>
    <xf numFmtId="3" fontId="2" fillId="3" borderId="0" xfId="0" applyNumberFormat="1" applyFont="1" applyFill="1" applyBorder="1" applyAlignment="1">
      <alignment horizontal="center" vertical="center" wrapText="1"/>
    </xf>
    <xf numFmtId="4" fontId="13" fillId="3" borderId="0" xfId="0" applyNumberFormat="1" applyFont="1" applyFill="1" applyBorder="1"/>
    <xf numFmtId="0" fontId="0" fillId="3" borderId="0" xfId="0" applyFill="1" applyBorder="1"/>
    <xf numFmtId="4" fontId="2" fillId="3" borderId="24" xfId="0" applyNumberFormat="1" applyFont="1" applyFill="1" applyBorder="1" applyAlignment="1">
      <alignment horizontal="center" vertical="center" wrapText="1"/>
    </xf>
    <xf numFmtId="4" fontId="3" fillId="3" borderId="16" xfId="0" applyNumberFormat="1" applyFont="1" applyFill="1" applyBorder="1" applyAlignment="1">
      <alignment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4" fontId="3" fillId="3" borderId="16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3" fontId="2" fillId="3" borderId="24" xfId="0" applyNumberFormat="1" applyFont="1" applyFill="1" applyBorder="1" applyAlignment="1">
      <alignment horizontal="center" vertical="center" wrapText="1"/>
    </xf>
    <xf numFmtId="3" fontId="2" fillId="3" borderId="28" xfId="0" applyNumberFormat="1" applyFont="1" applyFill="1" applyBorder="1" applyAlignment="1">
      <alignment horizontal="center" vertical="center" wrapText="1"/>
    </xf>
    <xf numFmtId="3" fontId="2" fillId="3" borderId="29" xfId="0" applyNumberFormat="1" applyFont="1" applyFill="1" applyBorder="1" applyAlignment="1">
      <alignment horizontal="center" vertical="center" wrapText="1"/>
    </xf>
    <xf numFmtId="3" fontId="2" fillId="3" borderId="30" xfId="0" applyNumberFormat="1" applyFont="1" applyFill="1" applyBorder="1" applyAlignment="1">
      <alignment horizontal="center" vertical="center" wrapText="1"/>
    </xf>
    <xf numFmtId="3" fontId="2" fillId="3" borderId="25" xfId="0" applyNumberFormat="1" applyFont="1" applyFill="1" applyBorder="1" applyAlignment="1">
      <alignment horizontal="center" vertical="center" wrapText="1"/>
    </xf>
    <xf numFmtId="3" fontId="2" fillId="3" borderId="31" xfId="0" applyNumberFormat="1" applyFont="1" applyFill="1" applyBorder="1" applyAlignment="1">
      <alignment horizontal="center" vertical="center" wrapText="1"/>
    </xf>
    <xf numFmtId="3" fontId="2" fillId="3" borderId="32" xfId="0" applyNumberFormat="1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3" fontId="2" fillId="3" borderId="34" xfId="0" applyNumberFormat="1" applyFont="1" applyFill="1" applyBorder="1" applyAlignment="1">
      <alignment horizontal="center" vertical="center" wrapText="1"/>
    </xf>
    <xf numFmtId="3" fontId="2" fillId="3" borderId="35" xfId="0" applyNumberFormat="1" applyFont="1" applyFill="1" applyBorder="1" applyAlignment="1">
      <alignment horizontal="center" vertical="center" wrapText="1"/>
    </xf>
    <xf numFmtId="3" fontId="2" fillId="3" borderId="36" xfId="0" applyNumberFormat="1" applyFont="1" applyFill="1" applyBorder="1" applyAlignment="1">
      <alignment horizontal="center" vertical="center" wrapText="1"/>
    </xf>
    <xf numFmtId="3" fontId="2" fillId="3" borderId="37" xfId="0" applyNumberFormat="1" applyFont="1" applyFill="1" applyBorder="1" applyAlignment="1">
      <alignment horizontal="center" vertical="center" wrapText="1"/>
    </xf>
    <xf numFmtId="3" fontId="2" fillId="3" borderId="39" xfId="0" applyNumberFormat="1" applyFont="1" applyFill="1" applyBorder="1" applyAlignment="1">
      <alignment horizontal="center" vertical="center" wrapText="1"/>
    </xf>
    <xf numFmtId="3" fontId="2" fillId="3" borderId="1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8" fillId="0" borderId="0" xfId="9" applyAlignment="1">
      <alignment horizontal="right"/>
    </xf>
    <xf numFmtId="166" fontId="2" fillId="3" borderId="3" xfId="0" applyNumberFormat="1" applyFont="1" applyFill="1" applyBorder="1" applyAlignment="1">
      <alignment horizontal="center" vertical="center" wrapText="1"/>
    </xf>
    <xf numFmtId="166" fontId="3" fillId="3" borderId="3" xfId="0" applyNumberFormat="1" applyFont="1" applyFill="1" applyBorder="1" applyAlignment="1">
      <alignment horizontal="center" vertical="center" wrapText="1"/>
    </xf>
    <xf numFmtId="166" fontId="3" fillId="3" borderId="24" xfId="0" applyNumberFormat="1" applyFont="1" applyFill="1" applyBorder="1" applyAlignment="1">
      <alignment horizontal="center" vertical="center" wrapText="1"/>
    </xf>
    <xf numFmtId="166" fontId="2" fillId="3" borderId="16" xfId="0" applyNumberFormat="1" applyFont="1" applyFill="1" applyBorder="1" applyAlignment="1">
      <alignment horizontal="center" vertical="center" wrapText="1"/>
    </xf>
    <xf numFmtId="166" fontId="2" fillId="3" borderId="24" xfId="0" applyNumberFormat="1" applyFont="1" applyFill="1" applyBorder="1" applyAlignment="1">
      <alignment horizontal="center" vertical="center" wrapText="1"/>
    </xf>
    <xf numFmtId="166" fontId="2" fillId="3" borderId="14" xfId="0" applyNumberFormat="1" applyFont="1" applyFill="1" applyBorder="1" applyAlignment="1">
      <alignment horizontal="center" vertical="center" wrapText="1"/>
    </xf>
    <xf numFmtId="168" fontId="5" fillId="3" borderId="16" xfId="10" applyNumberFormat="1" applyFont="1" applyFill="1" applyBorder="1" applyAlignment="1">
      <alignment horizontal="center"/>
    </xf>
    <xf numFmtId="169" fontId="3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5" fillId="0" borderId="45" xfId="10" applyFont="1" applyBorder="1" applyAlignment="1">
      <alignment horizontal="left" wrapText="1"/>
    </xf>
    <xf numFmtId="0" fontId="5" fillId="0" borderId="46" xfId="10" applyFont="1" applyBorder="1" applyAlignment="1">
      <alignment horizontal="left" wrapText="1"/>
    </xf>
    <xf numFmtId="0" fontId="5" fillId="0" borderId="46" xfId="10" applyFont="1" applyBorder="1" applyAlignment="1">
      <alignment vertical="justify" wrapText="1"/>
    </xf>
    <xf numFmtId="49" fontId="5" fillId="0" borderId="46" xfId="10" applyNumberFormat="1" applyFont="1" applyBorder="1" applyAlignment="1">
      <alignment horizontal="left" wrapText="1"/>
    </xf>
    <xf numFmtId="0" fontId="4" fillId="0" borderId="46" xfId="10" applyFont="1" applyBorder="1" applyAlignment="1">
      <alignment horizontal="left" wrapText="1"/>
    </xf>
    <xf numFmtId="0" fontId="4" fillId="0" borderId="47" xfId="10" applyFont="1" applyBorder="1" applyAlignment="1">
      <alignment horizontal="left" wrapText="1"/>
    </xf>
    <xf numFmtId="164" fontId="4" fillId="3" borderId="3" xfId="10" applyNumberFormat="1" applyFont="1" applyFill="1" applyBorder="1" applyAlignment="1">
      <alignment horizontal="center"/>
    </xf>
    <xf numFmtId="168" fontId="5" fillId="3" borderId="3" xfId="10" applyNumberFormat="1" applyFont="1" applyFill="1" applyBorder="1" applyAlignment="1">
      <alignment horizontal="center"/>
    </xf>
    <xf numFmtId="168" fontId="5" fillId="3" borderId="3" xfId="14" applyNumberFormat="1" applyFont="1" applyFill="1" applyBorder="1" applyAlignment="1">
      <alignment horizontal="center" vertical="center" wrapText="1"/>
    </xf>
    <xf numFmtId="0" fontId="4" fillId="0" borderId="45" xfId="10" applyFont="1" applyBorder="1" applyAlignment="1">
      <alignment horizontal="left" wrapText="1"/>
    </xf>
    <xf numFmtId="164" fontId="4" fillId="3" borderId="4" xfId="10" applyNumberFormat="1" applyFont="1" applyFill="1" applyBorder="1" applyAlignment="1">
      <alignment horizontal="center"/>
    </xf>
    <xf numFmtId="164" fontId="4" fillId="3" borderId="16" xfId="10" applyNumberFormat="1" applyFont="1" applyFill="1" applyBorder="1" applyAlignment="1">
      <alignment horizontal="center"/>
    </xf>
    <xf numFmtId="168" fontId="5" fillId="3" borderId="16" xfId="14" applyNumberFormat="1" applyFont="1" applyFill="1" applyBorder="1" applyAlignment="1">
      <alignment horizontal="center" vertical="center" wrapText="1"/>
    </xf>
    <xf numFmtId="168" fontId="4" fillId="3" borderId="48" xfId="10" applyNumberFormat="1" applyFont="1" applyFill="1" applyBorder="1" applyAlignment="1">
      <alignment horizontal="center" vertical="center"/>
    </xf>
    <xf numFmtId="168" fontId="4" fillId="3" borderId="49" xfId="10" applyNumberFormat="1" applyFont="1" applyFill="1" applyBorder="1" applyAlignment="1">
      <alignment horizontal="center" vertical="center"/>
    </xf>
    <xf numFmtId="170" fontId="0" fillId="0" borderId="0" xfId="0" applyNumberFormat="1"/>
    <xf numFmtId="0" fontId="0" fillId="0" borderId="0" xfId="0" applyAlignment="1">
      <alignment horizontal="center"/>
    </xf>
    <xf numFmtId="0" fontId="7" fillId="0" borderId="0" xfId="8" applyFont="1" applyFill="1" applyAlignment="1">
      <alignment horizontal="righ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72" fontId="0" fillId="0" borderId="18" xfId="0" applyNumberFormat="1" applyFill="1" applyBorder="1" applyAlignment="1">
      <alignment horizontal="center" vertical="center"/>
    </xf>
    <xf numFmtId="172" fontId="0" fillId="0" borderId="4" xfId="0" applyNumberFormat="1" applyFill="1" applyBorder="1" applyAlignment="1">
      <alignment horizontal="center" vertical="center"/>
    </xf>
    <xf numFmtId="172" fontId="0" fillId="0" borderId="3" xfId="0" applyNumberFormat="1" applyFill="1" applyBorder="1" applyAlignment="1">
      <alignment horizontal="center" vertical="center"/>
    </xf>
    <xf numFmtId="172" fontId="0" fillId="0" borderId="18" xfId="0" applyNumberFormat="1" applyFill="1" applyBorder="1"/>
    <xf numFmtId="173" fontId="0" fillId="0" borderId="18" xfId="0" applyNumberFormat="1" applyFill="1" applyBorder="1" applyAlignment="1">
      <alignment horizontal="center" vertical="center"/>
    </xf>
    <xf numFmtId="173" fontId="0" fillId="0" borderId="4" xfId="0" applyNumberFormat="1" applyFill="1" applyBorder="1" applyAlignment="1">
      <alignment horizontal="center" vertical="center"/>
    </xf>
    <xf numFmtId="173" fontId="0" fillId="0" borderId="3" xfId="0" applyNumberFormat="1" applyFill="1" applyBorder="1" applyAlignment="1">
      <alignment horizontal="center" vertical="center"/>
    </xf>
    <xf numFmtId="173" fontId="0" fillId="0" borderId="18" xfId="0" applyNumberFormat="1" applyFill="1" applyBorder="1"/>
    <xf numFmtId="172" fontId="0" fillId="0" borderId="19" xfId="0" applyNumberFormat="1" applyFill="1" applyBorder="1" applyAlignment="1">
      <alignment horizontal="center" vertical="center"/>
    </xf>
    <xf numFmtId="173" fontId="0" fillId="0" borderId="19" xfId="0" applyNumberFormat="1" applyFill="1" applyBorder="1" applyAlignment="1">
      <alignment horizontal="center" vertical="center"/>
    </xf>
    <xf numFmtId="172" fontId="0" fillId="0" borderId="27" xfId="0" applyNumberFormat="1" applyFill="1" applyBorder="1"/>
    <xf numFmtId="172" fontId="0" fillId="0" borderId="26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/>
    <xf numFmtId="0" fontId="13" fillId="0" borderId="0" xfId="0" applyFont="1" applyAlignment="1">
      <alignment vertical="center"/>
    </xf>
    <xf numFmtId="171" fontId="0" fillId="0" borderId="0" xfId="0" applyNumberFormat="1"/>
    <xf numFmtId="4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9" fontId="3" fillId="4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66" fontId="3" fillId="0" borderId="50" xfId="0" applyNumberFormat="1" applyFont="1" applyFill="1" applyBorder="1" applyAlignment="1">
      <alignment horizontal="center" vertical="center" wrapText="1"/>
    </xf>
    <xf numFmtId="166" fontId="3" fillId="0" borderId="51" xfId="0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 vertical="center"/>
    </xf>
    <xf numFmtId="171" fontId="13" fillId="0" borderId="0" xfId="0" applyNumberFormat="1" applyFont="1" applyAlignment="1">
      <alignment vertical="center"/>
    </xf>
    <xf numFmtId="171" fontId="13" fillId="0" borderId="3" xfId="0" applyNumberFormat="1" applyFont="1" applyBorder="1" applyAlignment="1">
      <alignment horizontal="center" vertical="center"/>
    </xf>
    <xf numFmtId="171" fontId="13" fillId="0" borderId="3" xfId="0" applyNumberFormat="1" applyFont="1" applyBorder="1" applyAlignment="1">
      <alignment vertical="center"/>
    </xf>
    <xf numFmtId="0" fontId="0" fillId="0" borderId="3" xfId="0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7" fillId="0" borderId="0" xfId="8" applyFont="1" applyFill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3" fillId="3" borderId="53" xfId="0" applyFont="1" applyFill="1" applyBorder="1" applyAlignment="1">
      <alignment horizontal="left" vertical="center" wrapText="1"/>
    </xf>
    <xf numFmtId="0" fontId="3" fillId="3" borderId="54" xfId="0" applyFont="1" applyFill="1" applyBorder="1" applyAlignment="1">
      <alignment horizontal="left" vertical="center" wrapText="1"/>
    </xf>
    <xf numFmtId="0" fontId="3" fillId="3" borderId="52" xfId="0" applyFont="1" applyFill="1" applyBorder="1" applyAlignment="1">
      <alignment horizontal="left" vertical="center" wrapText="1"/>
    </xf>
    <xf numFmtId="166" fontId="3" fillId="3" borderId="52" xfId="0" applyNumberFormat="1" applyFont="1" applyFill="1" applyBorder="1" applyAlignment="1">
      <alignment horizontal="center" vertical="center" wrapText="1"/>
    </xf>
    <xf numFmtId="166" fontId="3" fillId="0" borderId="52" xfId="0" applyNumberFormat="1" applyFont="1" applyFill="1" applyBorder="1" applyAlignment="1">
      <alignment horizontal="center" vertical="center" wrapText="1"/>
    </xf>
    <xf numFmtId="166" fontId="3" fillId="3" borderId="53" xfId="0" applyNumberFormat="1" applyFont="1" applyFill="1" applyBorder="1" applyAlignment="1">
      <alignment horizontal="center" vertical="center" wrapText="1"/>
    </xf>
    <xf numFmtId="166" fontId="3" fillId="0" borderId="53" xfId="0" applyNumberFormat="1" applyFont="1" applyFill="1" applyBorder="1" applyAlignment="1">
      <alignment horizontal="center" vertical="center" wrapText="1"/>
    </xf>
    <xf numFmtId="166" fontId="3" fillId="3" borderId="54" xfId="0" applyNumberFormat="1" applyFont="1" applyFill="1" applyBorder="1" applyAlignment="1">
      <alignment horizontal="center" vertical="center" wrapText="1"/>
    </xf>
    <xf numFmtId="166" fontId="3" fillId="0" borderId="54" xfId="0" applyNumberFormat="1" applyFont="1" applyFill="1" applyBorder="1" applyAlignment="1">
      <alignment horizontal="center" vertical="center" wrapText="1"/>
    </xf>
    <xf numFmtId="169" fontId="3" fillId="4" borderId="52" xfId="0" applyNumberFormat="1" applyFont="1" applyFill="1" applyBorder="1" applyAlignment="1">
      <alignment horizontal="center" vertical="center" wrapText="1"/>
    </xf>
    <xf numFmtId="169" fontId="3" fillId="0" borderId="53" xfId="0" applyNumberFormat="1" applyFont="1" applyFill="1" applyBorder="1" applyAlignment="1">
      <alignment horizontal="center" vertical="center" wrapText="1"/>
    </xf>
    <xf numFmtId="169" fontId="3" fillId="0" borderId="54" xfId="0" applyNumberFormat="1" applyFont="1" applyFill="1" applyBorder="1" applyAlignment="1">
      <alignment horizontal="center" vertical="center" wrapText="1"/>
    </xf>
    <xf numFmtId="169" fontId="3" fillId="0" borderId="52" xfId="0" applyNumberFormat="1" applyFont="1" applyFill="1" applyBorder="1" applyAlignment="1">
      <alignment horizontal="center" vertical="center" wrapText="1"/>
    </xf>
    <xf numFmtId="169" fontId="0" fillId="0" borderId="0" xfId="0" applyNumberFormat="1"/>
    <xf numFmtId="169" fontId="0" fillId="0" borderId="0" xfId="0" applyNumberFormat="1" applyAlignment="1">
      <alignment vertical="center"/>
    </xf>
    <xf numFmtId="166" fontId="0" fillId="0" borderId="0" xfId="0" applyNumberFormat="1"/>
    <xf numFmtId="170" fontId="0" fillId="0" borderId="3" xfId="0" applyNumberFormat="1" applyBorder="1"/>
    <xf numFmtId="0" fontId="0" fillId="0" borderId="0" xfId="0" applyAlignment="1">
      <alignment wrapText="1"/>
    </xf>
    <xf numFmtId="0" fontId="13" fillId="0" borderId="3" xfId="0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vertical="center"/>
    </xf>
    <xf numFmtId="4" fontId="0" fillId="0" borderId="0" xfId="0" applyNumberFormat="1"/>
    <xf numFmtId="0" fontId="13" fillId="0" borderId="0" xfId="0" applyFont="1" applyAlignment="1">
      <alignment vertical="center" wrapText="1"/>
    </xf>
    <xf numFmtId="0" fontId="0" fillId="0" borderId="3" xfId="0" applyBorder="1" applyAlignment="1">
      <alignment wrapText="1"/>
    </xf>
    <xf numFmtId="171" fontId="0" fillId="0" borderId="0" xfId="0" applyNumberFormat="1" applyFill="1"/>
    <xf numFmtId="171" fontId="10" fillId="0" borderId="0" xfId="0" applyNumberFormat="1" applyFont="1"/>
    <xf numFmtId="171" fontId="8" fillId="0" borderId="0" xfId="9" applyNumberFormat="1"/>
    <xf numFmtId="171" fontId="8" fillId="0" borderId="0" xfId="9" applyNumberFormat="1" applyFill="1"/>
    <xf numFmtId="168" fontId="8" fillId="0" borderId="0" xfId="9" applyNumberFormat="1"/>
    <xf numFmtId="0" fontId="0" fillId="0" borderId="0" xfId="0" applyAlignment="1">
      <alignment wrapText="1"/>
    </xf>
    <xf numFmtId="4" fontId="2" fillId="3" borderId="3" xfId="0" applyNumberFormat="1" applyFont="1" applyFill="1" applyBorder="1" applyAlignment="1">
      <alignment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 wrapText="1"/>
    </xf>
    <xf numFmtId="4" fontId="2" fillId="3" borderId="13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166" fontId="3" fillId="5" borderId="52" xfId="0" applyNumberFormat="1" applyFont="1" applyFill="1" applyBorder="1" applyAlignment="1">
      <alignment horizontal="center" vertical="center" wrapText="1"/>
    </xf>
    <xf numFmtId="166" fontId="3" fillId="6" borderId="53" xfId="0" applyNumberFormat="1" applyFont="1" applyFill="1" applyBorder="1" applyAlignment="1">
      <alignment horizontal="center" vertical="center" wrapText="1"/>
    </xf>
    <xf numFmtId="166" fontId="3" fillId="6" borderId="54" xfId="0" applyNumberFormat="1" applyFont="1" applyFill="1" applyBorder="1" applyAlignment="1">
      <alignment horizontal="center" vertical="center" wrapText="1"/>
    </xf>
    <xf numFmtId="4" fontId="3" fillId="3" borderId="24" xfId="0" applyNumberFormat="1" applyFont="1" applyFill="1" applyBorder="1" applyAlignment="1">
      <alignment horizontal="center" vertical="center" wrapText="1"/>
    </xf>
    <xf numFmtId="4" fontId="2" fillId="3" borderId="14" xfId="0" applyNumberFormat="1" applyFont="1" applyFill="1" applyBorder="1" applyAlignment="1">
      <alignment horizontal="center" vertical="center" wrapText="1"/>
    </xf>
    <xf numFmtId="171" fontId="8" fillId="0" borderId="3" xfId="9" applyNumberFormat="1" applyBorder="1"/>
    <xf numFmtId="0" fontId="3" fillId="0" borderId="3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9" fillId="0" borderId="0" xfId="2" applyAlignment="1" applyProtection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3" fillId="3" borderId="14" xfId="0" applyNumberFormat="1" applyFont="1" applyFill="1" applyBorder="1" applyAlignment="1">
      <alignment horizontal="center" vertical="center" wrapText="1"/>
    </xf>
    <xf numFmtId="4" fontId="3" fillId="3" borderId="24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66" fontId="0" fillId="0" borderId="0" xfId="16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3" borderId="14" xfId="0" applyNumberFormat="1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7" fillId="0" borderId="0" xfId="8" applyFont="1" applyFill="1" applyAlignment="1">
      <alignment horizontal="right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18" fillId="0" borderId="0" xfId="8" applyFont="1" applyFill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0" xfId="9" applyFon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4" fontId="2" fillId="3" borderId="26" xfId="0" applyNumberFormat="1" applyFont="1" applyFill="1" applyBorder="1" applyAlignment="1">
      <alignment horizontal="center" vertical="center" wrapText="1"/>
    </xf>
    <xf numFmtId="4" fontId="3" fillId="3" borderId="2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9" applyFont="1" applyAlignment="1">
      <alignment horizontal="left" wrapText="1"/>
    </xf>
    <xf numFmtId="0" fontId="4" fillId="0" borderId="0" xfId="9" applyFont="1" applyFill="1" applyAlignment="1">
      <alignment horizontal="center" wrapText="1"/>
    </xf>
    <xf numFmtId="0" fontId="7" fillId="0" borderId="0" xfId="0" applyFont="1" applyFill="1" applyAlignment="1">
      <alignment horizontal="right"/>
    </xf>
    <xf numFmtId="0" fontId="5" fillId="0" borderId="17" xfId="10" applyFont="1" applyBorder="1" applyAlignment="1">
      <alignment horizontal="center" vertical="center" wrapText="1"/>
    </xf>
    <xf numFmtId="0" fontId="5" fillId="0" borderId="49" xfId="10" applyFont="1" applyBorder="1" applyAlignment="1">
      <alignment horizontal="center" vertical="center" wrapText="1"/>
    </xf>
    <xf numFmtId="0" fontId="22" fillId="0" borderId="0" xfId="9" applyFont="1" applyFill="1" applyAlignment="1">
      <alignment horizontal="center" vertical="center" wrapText="1"/>
    </xf>
    <xf numFmtId="0" fontId="5" fillId="0" borderId="41" xfId="10" applyFont="1" applyBorder="1" applyAlignment="1">
      <alignment horizontal="center" vertical="center" wrapText="1"/>
    </xf>
    <xf numFmtId="0" fontId="5" fillId="0" borderId="42" xfId="10" applyFont="1" applyBorder="1" applyAlignment="1">
      <alignment horizontal="center" vertical="center" wrapText="1"/>
    </xf>
    <xf numFmtId="0" fontId="5" fillId="0" borderId="43" xfId="10" applyFont="1" applyBorder="1" applyAlignment="1">
      <alignment horizontal="center" vertical="center" wrapText="1"/>
    </xf>
    <xf numFmtId="0" fontId="5" fillId="0" borderId="44" xfId="10" applyFont="1" applyBorder="1" applyAlignment="1">
      <alignment horizontal="center" vertical="center" wrapText="1"/>
    </xf>
    <xf numFmtId="0" fontId="5" fillId="0" borderId="55" xfId="10" applyFont="1" applyBorder="1" applyAlignment="1">
      <alignment horizontal="center" vertical="center" wrapText="1"/>
    </xf>
    <xf numFmtId="0" fontId="5" fillId="0" borderId="56" xfId="10" applyFont="1" applyBorder="1" applyAlignment="1">
      <alignment horizontal="center" vertical="center" wrapText="1"/>
    </xf>
    <xf numFmtId="0" fontId="14" fillId="0" borderId="0" xfId="10" applyFont="1" applyAlignment="1">
      <alignment horizontal="center" wrapText="1"/>
    </xf>
    <xf numFmtId="0" fontId="4" fillId="3" borderId="0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171" fontId="2" fillId="3" borderId="3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left" wrapText="1"/>
    </xf>
    <xf numFmtId="0" fontId="0" fillId="0" borderId="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vertical="center" wrapText="1"/>
    </xf>
    <xf numFmtId="166" fontId="3" fillId="3" borderId="16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/>
    <xf numFmtId="0" fontId="0" fillId="0" borderId="24" xfId="0" applyFont="1" applyBorder="1" applyAlignment="1"/>
    <xf numFmtId="0" fontId="0" fillId="3" borderId="7" xfId="0" applyFont="1" applyFill="1" applyBorder="1"/>
    <xf numFmtId="0" fontId="0" fillId="3" borderId="38" xfId="0" applyFont="1" applyFill="1" applyBorder="1"/>
    <xf numFmtId="0" fontId="0" fillId="3" borderId="34" xfId="0" applyFont="1" applyFill="1" applyBorder="1"/>
    <xf numFmtId="0" fontId="0" fillId="3" borderId="31" xfId="0" applyFont="1" applyFill="1" applyBorder="1"/>
    <xf numFmtId="4" fontId="0" fillId="3" borderId="3" xfId="0" applyNumberFormat="1" applyFont="1" applyFill="1" applyBorder="1"/>
    <xf numFmtId="168" fontId="22" fillId="3" borderId="3" xfId="14" applyNumberFormat="1" applyFont="1" applyFill="1" applyBorder="1" applyAlignment="1">
      <alignment horizontal="center" vertical="center" wrapText="1"/>
    </xf>
    <xf numFmtId="168" fontId="22" fillId="3" borderId="16" xfId="14" applyNumberFormat="1" applyFont="1" applyFill="1" applyBorder="1" applyAlignment="1">
      <alignment horizontal="center" vertical="center" wrapText="1"/>
    </xf>
    <xf numFmtId="168" fontId="4" fillId="3" borderId="3" xfId="14" applyNumberFormat="1" applyFont="1" applyFill="1" applyBorder="1" applyAlignment="1">
      <alignment horizontal="center" vertical="center" wrapText="1"/>
    </xf>
    <xf numFmtId="168" fontId="4" fillId="3" borderId="16" xfId="14" applyNumberFormat="1" applyFont="1" applyFill="1" applyBorder="1" applyAlignment="1">
      <alignment horizontal="center" vertical="center" wrapText="1"/>
    </xf>
  </cellXfs>
  <cellStyles count="19">
    <cellStyle name="_!!! отчетные Форматы минэнерго к ИП 2011 (1.11.10)" xfId="1"/>
    <cellStyle name="Гиперссылка" xfId="2" builtinId="8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_! СВОД калькуляция 2010 (с занесением данных от ЦФО) испр 24.11.09" xfId="8"/>
    <cellStyle name="Обычный_Приложение 1" xfId="9"/>
    <cellStyle name="Обычный_Смета  по методике" xfId="10"/>
    <cellStyle name="Процентный 2" xfId="11"/>
    <cellStyle name="Процентный 3" xfId="12"/>
    <cellStyle name="Стиль 1" xfId="13"/>
    <cellStyle name="Финансовый" xfId="14" builtinId="3"/>
    <cellStyle name="Финансовый 2" xfId="15"/>
    <cellStyle name="Финансовый 3" xfId="16"/>
    <cellStyle name="Финансовый 3 2" xfId="18"/>
    <cellStyle name="Формула_GRES.2007.5" xfId="17"/>
  </cellStyles>
  <dxfs count="0"/>
  <tableStyles count="0" defaultTableStyle="TableStyleMedium9" defaultPivotStyle="PivotStyleLight16"/>
  <colors>
    <mruColors>
      <color rgb="FFCCFFFF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._4-9_&#1050;&#1069;_2017.10.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54;&#1073;&#1097;&#1080;&#1077;_&#1092;&#1072;&#1081;&#1083;&#1099;/&#1055;&#1069;&#1054;%20-%20&#1054;&#1090;&#1076;&#1077;&#1083;%20&#1090;&#1072;&#1088;&#1080;&#1092;&#1086;&#1086;&#1073;&#1088;&#1072;&#1079;&#1086;&#1074;&#1072;&#1085;&#1080;&#1103;/&#1044;&#1091;&#1073;&#1088;&#1086;&#1074;&#1072;/&#1058;&#1072;&#1088;&#1080;&#1092;&#1085;&#1099;&#1077;%20&#1076;&#1077;&#1083;&#1072;%20&#1087;&#1086;%20&#1090;&#1077;&#1093;&#1085;&#1086;&#1083;&#1086;&#1075;&#1080;&#1095;&#1077;&#1089;&#1082;&#1086;&#1084;&#1091;%20&#1087;&#1088;&#1080;&#1089;&#1086;&#1077;&#1076;&#1080;&#1085;&#1077;&#1085;&#1080;&#1102;/&#1058;&#1072;&#1088;&#1080;&#1092;&#1085;&#1086;&#1077;%20&#1076;&#1077;&#1083;&#1086;%20&#1087;&#1086;%20&#1058;&#1055;%20&#1085;&#1072;%202017%20&#1075;&#1086;&#1076;/&#1054;&#1090;_&#1059;&#1050;&#1057;/2016.09.14/&#1055;&#1088;&#1080;&#1083;&#1086;&#1078;&#1077;&#1085;&#1080;&#1077;_13_&#1059;&#1050;&#1057;_2016.09.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54;&#1073;&#1097;&#1080;&#1077;_&#1092;&#1072;&#1081;&#1083;&#1099;/&#1055;&#1069;&#1054;%20-%20&#1054;&#1090;&#1076;&#1077;&#1083;%20&#1090;&#1072;&#1088;&#1080;&#1092;&#1086;&#1086;&#1073;&#1088;&#1072;&#1079;&#1086;&#1074;&#1072;&#1085;&#1080;&#1103;/&#1044;&#1091;&#1073;&#1088;&#1086;&#1074;&#1072;/&#1058;&#1072;&#1088;&#1080;&#1092;&#1085;&#1099;&#1077;%20&#1076;&#1077;&#1083;&#1072;%20&#1087;&#1086;%20&#1058;&#1055;/&#1058;&#1044;%20&#1087;&#1086;%20&#1058;&#1055;%20&#1085;&#1072;%202017/&#1055;&#1088;&#1080;&#1083;.4-13_&#1088;&#1077;&#1076;.2016.09.14/&#1055;&#1088;&#1080;&#1083;._4-9_&#1050;&#1069;_2016.09.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o1\Local%20Settings\Temporary%20Internet%20Files\Content.Outlook\0ECZD03J\&#1050;&#1086;&#1087;&#1080;&#1103;%20&#1055;&#1088;&#1080;&#1083;&#1086;&#1078;&#1077;&#1085;&#1080;&#1077;_4-9_&#1050;&#1069;%20&#1044;&#1069;%20(2)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&#1054;&#1073;&#1097;&#1080;&#1077;_&#1092;&#1072;&#1081;&#1083;&#1099;\&#1055;&#1069;&#1054;%20-%20&#1054;&#1090;&#1076;&#1077;&#1083;%20&#1090;&#1072;&#1088;&#1080;&#1092;&#1086;&#1086;&#1073;&#1088;&#1072;&#1079;&#1086;&#1074;&#1072;&#1085;&#1080;&#1103;\&#1044;&#1091;&#1073;&#1088;&#1086;&#1074;&#1072;\&#1058;&#1072;&#1088;&#1080;&#1092;&#1085;&#1099;&#1077;%20&#1076;&#1077;&#1083;&#1072;%20&#1087;&#1086;%20&#1090;&#1077;&#1093;&#1085;&#1086;&#1083;&#1086;&#1075;&#1080;&#1095;&#1077;&#1089;&#1082;&#1086;&#1084;&#1091;%20&#1087;&#1088;&#1080;&#1089;&#1086;&#1077;&#1076;&#1080;&#1085;&#1077;&#1085;&#1080;&#1102;\&#1058;&#1072;&#1088;&#1080;&#1092;&#1085;&#1086;&#1077;%20&#1076;&#1077;&#1083;&#1086;%20&#1087;&#1086;%20&#1058;&#1055;%20&#1085;&#1072;%202017%20&#1075;&#1086;&#1076;\&#1044;&#1069;\&#1055;&#1088;&#1080;&#1083;&#1086;&#1078;&#1077;&#1085;&#1080;&#1077;_4-9_&#1050;&#106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54;&#1073;&#1097;&#1080;&#1077;_&#1092;&#1072;&#1081;&#1083;&#1099;/&#1055;&#1069;&#1054;%20-%20&#1054;&#1090;&#1076;&#1077;&#1083;%20&#1090;&#1072;&#1088;&#1080;&#1092;&#1086;&#1086;&#1073;&#1088;&#1072;&#1079;&#1086;&#1074;&#1072;&#1085;&#1080;&#1103;/&#1044;&#1091;&#1073;&#1088;&#1086;&#1074;&#1072;/&#1058;&#1072;&#1088;&#1080;&#1092;&#1085;&#1099;&#1077;%20&#1076;&#1077;&#1083;&#1072;%20&#1087;&#1086;%20&#1090;&#1077;&#1093;&#1085;&#1086;&#1083;&#1086;&#1075;&#1080;&#1095;&#1077;&#1089;&#1082;&#1086;&#1084;&#1091;%20&#1087;&#1088;&#1080;&#1089;&#1086;&#1077;&#1076;&#1080;&#1085;&#1077;&#1085;&#1080;&#1102;/&#1058;&#1072;&#1088;&#1080;&#1092;&#1085;&#1086;&#1077;%20&#1076;&#1077;&#1083;&#1086;%20&#1087;&#1086;%20&#1058;&#1055;%20&#1085;&#1072;%202016%20&#1075;&#1086;&#1076;/&#1088;&#1072;&#1089;&#1095;&#1077;&#1090;%2022.12.15/&#1089;&#1090;&#1088;&#1086;&#1080;&#1090;&#1077;&#1083;&#1100;&#1089;&#1090;&#1074;&#1086;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54;&#1073;&#1097;&#1080;&#1077;_&#1092;&#1072;&#1081;&#1083;&#1099;/&#1055;&#1069;&#1054;%20-%20&#1054;&#1090;&#1076;&#1077;&#1083;%20&#1090;&#1072;&#1088;&#1080;&#1092;&#1086;&#1086;&#1073;&#1088;&#1072;&#1079;&#1086;&#1074;&#1072;&#1085;&#1080;&#1103;/&#1044;&#1091;&#1073;&#1088;&#1086;&#1074;&#1072;/&#1058;&#1072;&#1088;&#1080;&#1092;&#1085;&#1099;&#1077;%20&#1076;&#1077;&#1083;&#1072;%20&#1087;&#1086;%20&#1058;&#1055;/&#1058;&#1044;%20&#1087;&#1086;%20&#1058;&#1055;%20&#1085;&#1072;%202017/&#1055;&#1088;&#1080;&#1083;.4-13_&#1088;&#1077;&#1076;.2016.09.14/&#1055;&#1088;&#1080;&#1083;._10-12_&#1050;&#1069;_2016.09.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 4 (пр-во)"/>
      <sheetName val="Прил. 5 (НВВ)"/>
      <sheetName val="Прил. 5 (НВВ) без льг.и инд.пр."/>
      <sheetName val="Прил. 6 (кальк) (2)"/>
      <sheetName val="Прил. 6 (кальк)"/>
      <sheetName val="Прил. 6 (кальк) без льгот"/>
      <sheetName val="Прил. 7 "/>
      <sheetName val="Табл. 7.1"/>
      <sheetName val="Табл. 7.2"/>
      <sheetName val="Табл. 7.3 Подг ТУ"/>
      <sheetName val="Табл. 7.4 разраб. ПСД"/>
      <sheetName val="Табл. 7.5 Проверка вып.ТУ"/>
      <sheetName val="Табл. 7.6 Ростехнадз."/>
      <sheetName val="Табл. 7.7 факт присоед"/>
      <sheetName val="Табл. 7.8 прям"/>
      <sheetName val="Табл. 7.9 косв"/>
      <sheetName val="Прил. 8 инвест за 3 года "/>
      <sheetName val="Прил. 9 СТС"/>
      <sheetName val="Расч. Удельных прил.9.1."/>
      <sheetName val="для ПЗ"/>
      <sheetName val="Тариф. ставки"/>
      <sheetName val="Ст-ть маш. час"/>
      <sheetName val="Стр.14"/>
      <sheetName val="Стр.15"/>
      <sheetName val="Стр.16"/>
      <sheetName val="Прил. 9 СТС (2)"/>
      <sheetName val="Затраты 2016"/>
      <sheetName val="СС 2016"/>
      <sheetName val="Об.сч.20 2016"/>
      <sheetName val="Об.сч.62 2016"/>
      <sheetName val="УО 2016"/>
      <sheetName val="Затраты 2015"/>
      <sheetName val="СС 2015"/>
      <sheetName val="УО 6 мес.2016"/>
      <sheetName val="СС 2016 (1-е полуг.)"/>
      <sheetName val="Об.сч.62 1-е полуг.2016"/>
      <sheetName val="СС 6мес.2017"/>
      <sheetName val="Об.сч.20 6мес.2017"/>
      <sheetName val="Об.сч.62 6мес.2017"/>
      <sheetName val="УО 6мес.2017"/>
    </sheetNames>
    <sheetDataSet>
      <sheetData sheetId="0"/>
      <sheetData sheetId="1">
        <row r="24">
          <cell r="O24">
            <v>51.02</v>
          </cell>
          <cell r="S24">
            <v>1478.3797730656197</v>
          </cell>
        </row>
        <row r="25">
          <cell r="O25">
            <v>3.2965200000000001</v>
          </cell>
          <cell r="S25">
            <v>8.6866254593982859</v>
          </cell>
        </row>
        <row r="26">
          <cell r="O26">
            <v>4104.6427000000003</v>
          </cell>
          <cell r="S26">
            <v>19063.09296631478</v>
          </cell>
        </row>
        <row r="27">
          <cell r="O27">
            <v>1245.6578</v>
          </cell>
          <cell r="S27">
            <v>5795.1802617596913</v>
          </cell>
        </row>
        <row r="29">
          <cell r="O29">
            <v>10.37168</v>
          </cell>
          <cell r="S29">
            <v>4.2059368000000008</v>
          </cell>
        </row>
        <row r="30">
          <cell r="O30">
            <v>10.508799999999999</v>
          </cell>
          <cell r="S30">
            <v>2.8039544000000003</v>
          </cell>
        </row>
        <row r="32">
          <cell r="O32">
            <v>1.5558399999999999</v>
          </cell>
          <cell r="S32">
            <v>2.8039544000000003</v>
          </cell>
        </row>
        <row r="33">
          <cell r="O33">
            <v>2.9282599999999999</v>
          </cell>
          <cell r="S33">
            <v>2.8039544000000003</v>
          </cell>
        </row>
        <row r="34">
          <cell r="O34">
            <v>4.2670000000000003</v>
          </cell>
          <cell r="S34">
            <v>23.833648800000002</v>
          </cell>
        </row>
        <row r="35">
          <cell r="O35">
            <v>0.24540000000000001</v>
          </cell>
          <cell r="S35">
            <v>2.8039544000000003</v>
          </cell>
        </row>
        <row r="36">
          <cell r="O36">
            <v>1100.5186399999993</v>
          </cell>
          <cell r="S36">
            <v>2509.9858646565735</v>
          </cell>
        </row>
        <row r="38">
          <cell r="O38">
            <v>4.0719999999999999E-2</v>
          </cell>
          <cell r="S38">
            <v>1.4019824000000001</v>
          </cell>
        </row>
        <row r="39">
          <cell r="S39">
            <v>2742.9326373397103</v>
          </cell>
        </row>
        <row r="40">
          <cell r="O40">
            <v>435.63556</v>
          </cell>
          <cell r="S40">
            <v>4745.8373271293658</v>
          </cell>
        </row>
        <row r="41">
          <cell r="O41">
            <v>223.1378</v>
          </cell>
        </row>
        <row r="42">
          <cell r="O42">
            <v>16681</v>
          </cell>
          <cell r="S42">
            <v>31455.138881766467</v>
          </cell>
        </row>
      </sheetData>
      <sheetData sheetId="2"/>
      <sheetData sheetId="3"/>
      <sheetData sheetId="4">
        <row r="10">
          <cell r="D10">
            <v>67839891.723091602</v>
          </cell>
        </row>
        <row r="12">
          <cell r="D12">
            <v>12849643.325345859</v>
          </cell>
        </row>
        <row r="13">
          <cell r="D13">
            <v>10233471.938333597</v>
          </cell>
          <cell r="E13">
            <v>2610.62</v>
          </cell>
        </row>
        <row r="14">
          <cell r="D14">
            <v>726100.00449373759</v>
          </cell>
          <cell r="E14">
            <v>157</v>
          </cell>
        </row>
        <row r="15">
          <cell r="D15">
            <v>953006.25589802908</v>
          </cell>
          <cell r="E15">
            <v>1525.45</v>
          </cell>
        </row>
        <row r="16">
          <cell r="D16">
            <v>640643.55983784143</v>
          </cell>
          <cell r="E16">
            <v>1322</v>
          </cell>
        </row>
        <row r="17">
          <cell r="D17">
            <v>117030.83095730079</v>
          </cell>
          <cell r="E17">
            <v>800</v>
          </cell>
        </row>
        <row r="18">
          <cell r="D18">
            <v>117030.83095730079</v>
          </cell>
          <cell r="E18">
            <v>1800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62359.90486805109</v>
          </cell>
          <cell r="E21">
            <v>3300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5">
          <cell r="D25">
            <v>0</v>
          </cell>
          <cell r="E25">
            <v>157</v>
          </cell>
        </row>
        <row r="26">
          <cell r="D26">
            <v>0</v>
          </cell>
          <cell r="E26">
            <v>1525.45</v>
          </cell>
        </row>
        <row r="27">
          <cell r="D27">
            <v>0</v>
          </cell>
          <cell r="E27">
            <v>1322</v>
          </cell>
        </row>
        <row r="28">
          <cell r="D28">
            <v>0</v>
          </cell>
          <cell r="E28">
            <v>800</v>
          </cell>
        </row>
        <row r="29">
          <cell r="D29">
            <v>0</v>
          </cell>
          <cell r="E29">
            <v>1800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3300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31455138.881766468</v>
          </cell>
        </row>
        <row r="46">
          <cell r="D46">
            <v>19917520.852250006</v>
          </cell>
        </row>
        <row r="47">
          <cell r="D47">
            <v>6261506.6508333357</v>
          </cell>
          <cell r="E47">
            <v>307.09999999999997</v>
          </cell>
        </row>
        <row r="48">
          <cell r="D48">
            <v>1880276.8540000005</v>
          </cell>
          <cell r="E48">
            <v>66.399999999999991</v>
          </cell>
        </row>
        <row r="51">
          <cell r="D51">
            <v>767365.53708333347</v>
          </cell>
          <cell r="E51">
            <v>82.5</v>
          </cell>
        </row>
        <row r="54">
          <cell r="D54">
            <v>976705.46033333358</v>
          </cell>
          <cell r="E54">
            <v>68.333333333333329</v>
          </cell>
        </row>
        <row r="57">
          <cell r="D57">
            <v>235358.12000000005</v>
          </cell>
          <cell r="E57">
            <v>44.26</v>
          </cell>
        </row>
        <row r="60">
          <cell r="D60">
            <v>9670151.9650000017</v>
          </cell>
          <cell r="E60">
            <v>114.65</v>
          </cell>
        </row>
        <row r="63">
          <cell r="D63">
            <v>0</v>
          </cell>
          <cell r="E63">
            <v>0</v>
          </cell>
        </row>
        <row r="66">
          <cell r="D66">
            <v>126156.26500000001</v>
          </cell>
          <cell r="E66">
            <v>212.33</v>
          </cell>
        </row>
        <row r="69">
          <cell r="D69">
            <v>0</v>
          </cell>
          <cell r="E69">
            <v>0</v>
          </cell>
        </row>
        <row r="72">
          <cell r="D72">
            <v>0</v>
          </cell>
          <cell r="E72">
            <v>0</v>
          </cell>
        </row>
        <row r="75">
          <cell r="D75">
            <v>0</v>
          </cell>
          <cell r="E75">
            <v>0</v>
          </cell>
        </row>
        <row r="78">
          <cell r="D78">
            <v>0</v>
          </cell>
          <cell r="E78">
            <v>0</v>
          </cell>
        </row>
        <row r="81">
          <cell r="D81">
            <v>0</v>
          </cell>
          <cell r="E81">
            <v>0</v>
          </cell>
        </row>
        <row r="82">
          <cell r="D82">
            <v>0</v>
          </cell>
          <cell r="E82">
            <v>0</v>
          </cell>
        </row>
        <row r="113">
          <cell r="D113">
            <v>0</v>
          </cell>
          <cell r="E113">
            <v>0</v>
          </cell>
        </row>
        <row r="126">
          <cell r="D126">
            <v>11537618.029516462</v>
          </cell>
        </row>
        <row r="127">
          <cell r="D127">
            <v>1100860.668563643</v>
          </cell>
          <cell r="E127">
            <v>30</v>
          </cell>
        </row>
        <row r="129">
          <cell r="D129">
            <v>3953514.6288000257</v>
          </cell>
          <cell r="E129">
            <v>68.333333333333329</v>
          </cell>
        </row>
        <row r="138">
          <cell r="D138">
            <v>6483242.7321527926</v>
          </cell>
          <cell r="E138">
            <v>101.85</v>
          </cell>
        </row>
        <row r="143">
          <cell r="D143">
            <v>0</v>
          </cell>
        </row>
        <row r="151">
          <cell r="D151">
            <v>0</v>
          </cell>
          <cell r="E151">
            <v>0</v>
          </cell>
        </row>
        <row r="162">
          <cell r="D162">
            <v>10924374.227937886</v>
          </cell>
        </row>
        <row r="163">
          <cell r="D163">
            <v>8714842.9013492148</v>
          </cell>
          <cell r="E163">
            <v>2610.62</v>
          </cell>
        </row>
        <row r="164">
          <cell r="D164">
            <v>618348.05508464389</v>
          </cell>
          <cell r="E164">
            <v>157</v>
          </cell>
        </row>
        <row r="165">
          <cell r="D165">
            <v>823447.89205388934</v>
          </cell>
          <cell r="E165">
            <v>1525.45</v>
          </cell>
        </row>
        <row r="166">
          <cell r="D166">
            <v>542661.30799667817</v>
          </cell>
          <cell r="E166">
            <v>1322</v>
          </cell>
        </row>
        <row r="167">
          <cell r="D167">
            <v>82642.564024849533</v>
          </cell>
          <cell r="E167">
            <v>800</v>
          </cell>
        </row>
        <row r="168">
          <cell r="D168">
            <v>86861.51928266199</v>
          </cell>
          <cell r="E168">
            <v>1800</v>
          </cell>
        </row>
        <row r="169">
          <cell r="D169">
            <v>0</v>
          </cell>
          <cell r="E169">
            <v>0</v>
          </cell>
        </row>
        <row r="170">
          <cell r="D170">
            <v>0</v>
          </cell>
          <cell r="E170">
            <v>0</v>
          </cell>
        </row>
        <row r="171">
          <cell r="D171">
            <v>55569.988145950854</v>
          </cell>
          <cell r="E171">
            <v>3300</v>
          </cell>
        </row>
        <row r="172">
          <cell r="D172">
            <v>0</v>
          </cell>
          <cell r="E172">
            <v>0</v>
          </cell>
        </row>
        <row r="173">
          <cell r="D173">
            <v>0</v>
          </cell>
          <cell r="E173">
            <v>0</v>
          </cell>
        </row>
        <row r="174">
          <cell r="D174">
            <v>10814.883223720899</v>
          </cell>
        </row>
        <row r="175">
          <cell r="D175">
            <v>0</v>
          </cell>
          <cell r="E175">
            <v>800</v>
          </cell>
        </row>
        <row r="176">
          <cell r="D176">
            <v>0</v>
          </cell>
          <cell r="E176">
            <v>1800</v>
          </cell>
        </row>
        <row r="177">
          <cell r="D177">
            <v>0</v>
          </cell>
          <cell r="E177">
            <v>0</v>
          </cell>
        </row>
        <row r="178">
          <cell r="D178">
            <v>0</v>
          </cell>
          <cell r="E178">
            <v>0</v>
          </cell>
        </row>
        <row r="179">
          <cell r="D179">
            <v>10814.883223720899</v>
          </cell>
          <cell r="E179">
            <v>3300</v>
          </cell>
        </row>
        <row r="180">
          <cell r="D180">
            <v>0</v>
          </cell>
          <cell r="E180">
            <v>0</v>
          </cell>
        </row>
        <row r="181">
          <cell r="D181">
            <v>0</v>
          </cell>
          <cell r="E181">
            <v>0</v>
          </cell>
        </row>
        <row r="182">
          <cell r="D182">
            <v>12599920.404817669</v>
          </cell>
        </row>
        <row r="183">
          <cell r="D183">
            <v>9669463.4901977945</v>
          </cell>
          <cell r="E183">
            <v>2610.62</v>
          </cell>
        </row>
        <row r="184">
          <cell r="D184">
            <v>686081.66671026312</v>
          </cell>
          <cell r="E184">
            <v>157</v>
          </cell>
        </row>
        <row r="185">
          <cell r="D185">
            <v>1079993.9939970351</v>
          </cell>
          <cell r="E185">
            <v>1525.45</v>
          </cell>
        </row>
        <row r="186">
          <cell r="D186">
            <v>879333.99069779052</v>
          </cell>
          <cell r="E186">
            <v>1322</v>
          </cell>
        </row>
        <row r="187">
          <cell r="D187">
            <v>102856.57085686048</v>
          </cell>
          <cell r="E187">
            <v>800</v>
          </cell>
        </row>
        <row r="188">
          <cell r="D188">
            <v>144961.31184998268</v>
          </cell>
          <cell r="E188">
            <v>1800</v>
          </cell>
        </row>
        <row r="189">
          <cell r="D189">
            <v>0</v>
          </cell>
          <cell r="E189">
            <v>0</v>
          </cell>
        </row>
        <row r="190">
          <cell r="D190">
            <v>0</v>
          </cell>
          <cell r="E190">
            <v>0</v>
          </cell>
        </row>
        <row r="191">
          <cell r="D191">
            <v>37229.380507941722</v>
          </cell>
          <cell r="E191">
            <v>3300</v>
          </cell>
        </row>
        <row r="192">
          <cell r="D192">
            <v>0</v>
          </cell>
          <cell r="E192">
            <v>0</v>
          </cell>
        </row>
        <row r="193">
          <cell r="D193">
            <v>0</v>
          </cell>
          <cell r="E193">
            <v>0</v>
          </cell>
        </row>
      </sheetData>
      <sheetData sheetId="5">
        <row r="22">
          <cell r="D2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S12">
            <v>4624.8407929537425</v>
          </cell>
        </row>
        <row r="13">
          <cell r="S13">
            <v>3938.522643851235</v>
          </cell>
        </row>
        <row r="15">
          <cell r="S15">
            <v>4369.9469217214209</v>
          </cell>
        </row>
        <row r="17">
          <cell r="S17">
            <v>624.73778616016853</v>
          </cell>
          <cell r="T17">
            <v>484.60178505131728</v>
          </cell>
        </row>
        <row r="18">
          <cell r="S18">
            <v>539.80654367818636</v>
          </cell>
          <cell r="T18">
            <v>410.48510438477922</v>
          </cell>
        </row>
        <row r="20">
          <cell r="S20">
            <v>707.98386967585634</v>
          </cell>
          <cell r="T20">
            <v>665.15430461254959</v>
          </cell>
        </row>
        <row r="22">
          <cell r="S22">
            <v>146.28853869662598</v>
          </cell>
          <cell r="T22">
            <v>65.01712830961155</v>
          </cell>
        </row>
        <row r="23">
          <cell r="S23">
            <v>103.30320503106192</v>
          </cell>
          <cell r="T23">
            <v>48.256399601478883</v>
          </cell>
        </row>
        <row r="24">
          <cell r="S24">
            <v>0</v>
          </cell>
          <cell r="T24">
            <v>0</v>
          </cell>
        </row>
        <row r="25">
          <cell r="S25">
            <v>128.5707135710756</v>
          </cell>
          <cell r="T25">
            <v>80.534062138879264</v>
          </cell>
        </row>
        <row r="27">
          <cell r="T27">
            <v>0</v>
          </cell>
          <cell r="U27">
            <v>18.896940869106391</v>
          </cell>
          <cell r="V27">
            <v>0</v>
          </cell>
        </row>
        <row r="28">
          <cell r="T28">
            <v>0</v>
          </cell>
          <cell r="U28">
            <v>16.839390347257833</v>
          </cell>
          <cell r="V28">
            <v>0</v>
          </cell>
        </row>
        <row r="29">
          <cell r="T29">
            <v>0</v>
          </cell>
          <cell r="U29">
            <v>3.2772373405214847</v>
          </cell>
          <cell r="V29">
            <v>0</v>
          </cell>
        </row>
        <row r="30">
          <cell r="T30">
            <v>0</v>
          </cell>
          <cell r="U30">
            <v>11.281630456952037</v>
          </cell>
          <cell r="V30">
            <v>0</v>
          </cell>
        </row>
        <row r="34">
          <cell r="S34">
            <v>236303.33333333337</v>
          </cell>
          <cell r="T34">
            <v>264340.00000000006</v>
          </cell>
        </row>
        <row r="59">
          <cell r="S59">
            <v>236303.33333333337</v>
          </cell>
          <cell r="T59">
            <v>264340.00000000006</v>
          </cell>
        </row>
        <row r="84">
          <cell r="S84">
            <v>236303.33333333337</v>
          </cell>
          <cell r="T84">
            <v>264340.00000000006</v>
          </cell>
        </row>
        <row r="109">
          <cell r="S109">
            <v>236303.33333333337</v>
          </cell>
          <cell r="T109">
            <v>264340.00000000006</v>
          </cell>
        </row>
        <row r="134">
          <cell r="S134">
            <v>236303.33333333337</v>
          </cell>
          <cell r="T134">
            <v>264340.00000000006</v>
          </cell>
          <cell r="U134">
            <v>583697.0625153149</v>
          </cell>
        </row>
        <row r="163">
          <cell r="T163">
            <v>452080</v>
          </cell>
        </row>
        <row r="166">
          <cell r="T166">
            <v>452080</v>
          </cell>
        </row>
        <row r="169">
          <cell r="T169">
            <v>452080</v>
          </cell>
        </row>
        <row r="172">
          <cell r="T172">
            <v>452080</v>
          </cell>
        </row>
        <row r="178">
          <cell r="S178">
            <v>13325.066525759999</v>
          </cell>
        </row>
        <row r="179">
          <cell r="S179">
            <v>13325.066525759999</v>
          </cell>
        </row>
        <row r="181">
          <cell r="S181">
            <v>13325.066525759999</v>
          </cell>
        </row>
        <row r="182">
          <cell r="S182">
            <v>1745.1515151515159</v>
          </cell>
        </row>
        <row r="183">
          <cell r="S183">
            <v>2550</v>
          </cell>
        </row>
        <row r="185">
          <cell r="S185">
            <v>13325.066525759999</v>
          </cell>
        </row>
        <row r="186">
          <cell r="S186">
            <v>13325.066525759999</v>
          </cell>
        </row>
        <row r="187">
          <cell r="S187">
            <v>13325.066525759999</v>
          </cell>
        </row>
        <row r="188">
          <cell r="S188">
            <v>1745.1515151515159</v>
          </cell>
        </row>
        <row r="189">
          <cell r="S189">
            <v>2550</v>
          </cell>
        </row>
        <row r="191">
          <cell r="S191">
            <v>13325.066525759999</v>
          </cell>
        </row>
        <row r="192">
          <cell r="S192">
            <v>13325.066525759999</v>
          </cell>
        </row>
        <row r="193">
          <cell r="S193">
            <v>13325.066525759999</v>
          </cell>
        </row>
        <row r="194">
          <cell r="S194">
            <v>1745.1515151515159</v>
          </cell>
        </row>
        <row r="195">
          <cell r="S195">
            <v>2550</v>
          </cell>
        </row>
      </sheetData>
      <sheetData sheetId="18"/>
      <sheetData sheetId="19"/>
      <sheetData sheetId="20"/>
      <sheetData sheetId="21"/>
      <sheetData sheetId="22">
        <row r="169">
          <cell r="G169">
            <v>16</v>
          </cell>
          <cell r="P169">
            <v>316567.43</v>
          </cell>
        </row>
        <row r="170">
          <cell r="G170">
            <v>18</v>
          </cell>
          <cell r="P170">
            <v>301903.81</v>
          </cell>
        </row>
        <row r="176">
          <cell r="G176">
            <v>160</v>
          </cell>
          <cell r="P176">
            <v>410373.24</v>
          </cell>
        </row>
        <row r="191">
          <cell r="F191">
            <v>7.4530000000000012</v>
          </cell>
          <cell r="G191">
            <v>304.46999999999997</v>
          </cell>
          <cell r="P191">
            <v>3227631.72</v>
          </cell>
        </row>
        <row r="192">
          <cell r="F192">
            <v>1.2609999999999997</v>
          </cell>
          <cell r="G192">
            <v>46.2</v>
          </cell>
          <cell r="P192">
            <v>710004.07</v>
          </cell>
        </row>
        <row r="193">
          <cell r="F193">
            <v>1.5149999999999999</v>
          </cell>
          <cell r="G193">
            <v>160</v>
          </cell>
          <cell r="P193">
            <v>556731.74</v>
          </cell>
        </row>
        <row r="194">
          <cell r="F194">
            <v>0.33800000000000002</v>
          </cell>
          <cell r="G194">
            <v>160</v>
          </cell>
          <cell r="P194">
            <v>218013.61</v>
          </cell>
        </row>
        <row r="195">
          <cell r="F195">
            <v>0.1</v>
          </cell>
          <cell r="G195">
            <v>16</v>
          </cell>
          <cell r="P195">
            <v>66242.350000000006</v>
          </cell>
        </row>
        <row r="196">
          <cell r="F196">
            <v>7.6</v>
          </cell>
          <cell r="G196">
            <v>34</v>
          </cell>
          <cell r="P196">
            <v>3018652.24</v>
          </cell>
        </row>
        <row r="198">
          <cell r="F198">
            <v>0.21</v>
          </cell>
          <cell r="G198">
            <v>160</v>
          </cell>
          <cell r="P198">
            <v>121377.44</v>
          </cell>
        </row>
        <row r="199">
          <cell r="G199">
            <v>5</v>
          </cell>
          <cell r="P199">
            <v>250822.47</v>
          </cell>
        </row>
      </sheetData>
      <sheetData sheetId="23">
        <row r="172">
          <cell r="G172">
            <v>5</v>
          </cell>
          <cell r="P172">
            <v>180433.66</v>
          </cell>
        </row>
        <row r="173">
          <cell r="G173">
            <v>5</v>
          </cell>
          <cell r="P173">
            <v>199681.04</v>
          </cell>
        </row>
        <row r="174">
          <cell r="G174">
            <v>5</v>
          </cell>
          <cell r="P174">
            <v>193705.09999999998</v>
          </cell>
        </row>
        <row r="175">
          <cell r="G175">
            <v>18</v>
          </cell>
          <cell r="P175">
            <v>234777.36</v>
          </cell>
        </row>
        <row r="181">
          <cell r="G181">
            <v>80.7</v>
          </cell>
          <cell r="P181">
            <v>415158.01</v>
          </cell>
        </row>
        <row r="182">
          <cell r="G182">
            <v>71</v>
          </cell>
          <cell r="P182">
            <v>441365.83</v>
          </cell>
        </row>
        <row r="195">
          <cell r="F195">
            <v>6.2500000000000009</v>
          </cell>
          <cell r="G195">
            <v>388.69999999999993</v>
          </cell>
          <cell r="P195">
            <v>2881925.9299999997</v>
          </cell>
        </row>
        <row r="196">
          <cell r="F196">
            <v>0.33999999999999997</v>
          </cell>
          <cell r="G196">
            <v>33</v>
          </cell>
          <cell r="P196">
            <v>240008</v>
          </cell>
        </row>
        <row r="197">
          <cell r="F197">
            <v>0.05</v>
          </cell>
          <cell r="G197">
            <v>5</v>
          </cell>
          <cell r="P197">
            <v>21349.67</v>
          </cell>
        </row>
        <row r="198">
          <cell r="F198">
            <v>0.65100000000000002</v>
          </cell>
          <cell r="G198">
            <v>15</v>
          </cell>
          <cell r="P198">
            <v>1070085.1660000002</v>
          </cell>
        </row>
        <row r="199">
          <cell r="F199">
            <v>0.17</v>
          </cell>
          <cell r="G199">
            <v>24</v>
          </cell>
          <cell r="P199">
            <v>10910.05</v>
          </cell>
        </row>
        <row r="200">
          <cell r="F200">
            <v>10.030000000000001</v>
          </cell>
          <cell r="G200">
            <v>195.3</v>
          </cell>
          <cell r="P200">
            <v>6055216.8399999999</v>
          </cell>
        </row>
        <row r="202">
          <cell r="F202">
            <v>0.02</v>
          </cell>
          <cell r="G202">
            <v>264.66000000000003</v>
          </cell>
          <cell r="P202">
            <v>75527.41</v>
          </cell>
        </row>
        <row r="203">
          <cell r="G203">
            <v>0</v>
          </cell>
          <cell r="P203">
            <v>0</v>
          </cell>
        </row>
      </sheetData>
      <sheetData sheetId="24">
        <row r="182">
          <cell r="G182">
            <v>15</v>
          </cell>
          <cell r="P182">
            <v>201941.22</v>
          </cell>
        </row>
        <row r="187">
          <cell r="G187">
            <v>15</v>
          </cell>
          <cell r="P187">
            <v>222811.71000000002</v>
          </cell>
        </row>
        <row r="207">
          <cell r="F207">
            <v>5.452</v>
          </cell>
          <cell r="G207">
            <v>228.13</v>
          </cell>
          <cell r="P207">
            <v>4116442.45</v>
          </cell>
        </row>
        <row r="208">
          <cell r="F208">
            <v>3.5410000000000004</v>
          </cell>
          <cell r="G208">
            <v>120</v>
          </cell>
          <cell r="P208">
            <v>3435659.3699999996</v>
          </cell>
        </row>
        <row r="209">
          <cell r="F209">
            <v>0</v>
          </cell>
          <cell r="G209">
            <v>0</v>
          </cell>
          <cell r="P209">
            <v>0</v>
          </cell>
        </row>
        <row r="210">
          <cell r="F210">
            <v>1.6819999999999999</v>
          </cell>
          <cell r="G210">
            <v>30</v>
          </cell>
          <cell r="P210">
            <v>1266150.68</v>
          </cell>
        </row>
        <row r="211">
          <cell r="F211">
            <v>0.45</v>
          </cell>
          <cell r="G211">
            <v>92.78</v>
          </cell>
          <cell r="P211">
            <v>85507.07</v>
          </cell>
        </row>
        <row r="212">
          <cell r="F212">
            <v>0</v>
          </cell>
          <cell r="G212">
            <v>0</v>
          </cell>
          <cell r="P212">
            <v>0</v>
          </cell>
        </row>
        <row r="215">
          <cell r="G215">
            <v>55</v>
          </cell>
          <cell r="P215">
            <v>1715156.62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"/>
      <sheetName val="Приложение 3"/>
      <sheetName val="Приложение 4 "/>
      <sheetName val="Приложение 5 "/>
      <sheetName val="Приложение 6"/>
      <sheetName val="Приложение 7"/>
      <sheetName val="Приложение 8"/>
      <sheetName val="Приложение 9"/>
    </sheetNames>
    <sheetDataSet>
      <sheetData sheetId="0"/>
      <sheetData sheetId="1"/>
      <sheetData sheetId="2"/>
      <sheetData sheetId="3"/>
      <sheetData sheetId="4">
        <row r="12">
          <cell r="B12">
            <v>966.69</v>
          </cell>
          <cell r="C12">
            <v>130.9</v>
          </cell>
        </row>
        <row r="13">
          <cell r="B13">
            <v>778.07</v>
          </cell>
          <cell r="C13">
            <v>30</v>
          </cell>
        </row>
        <row r="14">
          <cell r="B14">
            <v>1711.6</v>
          </cell>
          <cell r="C14">
            <v>202.7</v>
          </cell>
        </row>
        <row r="15">
          <cell r="B15">
            <v>410.4</v>
          </cell>
          <cell r="C15">
            <v>160</v>
          </cell>
        </row>
      </sheetData>
      <sheetData sheetId="5">
        <row r="12">
          <cell r="B12">
            <v>10455.053333333333</v>
          </cell>
          <cell r="C12">
            <v>14.863333333333333</v>
          </cell>
        </row>
        <row r="13">
          <cell r="B13">
            <v>4675.8433333333332</v>
          </cell>
          <cell r="C13">
            <v>6.82</v>
          </cell>
        </row>
        <row r="14">
          <cell r="B14">
            <v>5779.21</v>
          </cell>
          <cell r="C14">
            <v>8.043333333333333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4 (производство)"/>
      <sheetName val="Приложение 5 (НВВ)"/>
      <sheetName val="Прил. 5 (НВВ) без льг.и инд.пр."/>
      <sheetName val="Приложение 6 (кальк)"/>
      <sheetName val="Приложение 6 (кальк) без льгот"/>
      <sheetName val="Приложение 7 "/>
      <sheetName val="Таблица 7.1"/>
      <sheetName val="Таблица 7.2"/>
      <sheetName val="Таблица 7.3 Подг ТУ"/>
      <sheetName val="Таблица 7.4 разраб_ ПСД"/>
      <sheetName val="Таблица 7.5 Проверка вып.ТУ"/>
      <sheetName val="Таблица 7.6 Ростехнадзор"/>
      <sheetName val="Таблица 7.7 факт присоед"/>
      <sheetName val="Таблица 7.8 прям"/>
      <sheetName val="Таблица 7.9 косв"/>
      <sheetName val="Приложение 8 инвест за 3 года "/>
      <sheetName val="Приложение 9 СТС"/>
      <sheetName val="Расчет Удельных прил.9.1."/>
      <sheetName val="Тариф ставки"/>
      <sheetName val="Ст-ть маш час"/>
      <sheetName val="стр.2014"/>
      <sheetName val="стр.2015"/>
      <sheetName val="стр.2016"/>
      <sheetName val="Затраты 2015"/>
      <sheetName val="СС 2015"/>
      <sheetName val="УО 6 мес.2016"/>
      <sheetName val="СС 2016 (1-е полуг.)"/>
      <sheetName val="Об.сч.62 1-е полуг.2016"/>
      <sheetName val="для П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N3">
            <v>0</v>
          </cell>
        </row>
        <row r="12">
          <cell r="N12">
            <v>18.1145</v>
          </cell>
          <cell r="Z12">
            <v>457.7</v>
          </cell>
        </row>
        <row r="25">
          <cell r="K25">
            <v>7.4529999999999985</v>
          </cell>
          <cell r="L25">
            <v>6.2650000000000015</v>
          </cell>
          <cell r="M25">
            <v>4.4020000000000001</v>
          </cell>
        </row>
        <row r="36">
          <cell r="K36">
            <v>1.5149999999999999</v>
          </cell>
          <cell r="L36">
            <v>0.05</v>
          </cell>
          <cell r="M36" t="str">
            <v/>
          </cell>
        </row>
        <row r="46">
          <cell r="K46">
            <v>0.33800000000000002</v>
          </cell>
          <cell r="L46">
            <v>0.65100000000000002</v>
          </cell>
          <cell r="M46">
            <v>0.27</v>
          </cell>
        </row>
        <row r="57">
          <cell r="L57">
            <v>0.17</v>
          </cell>
          <cell r="M57">
            <v>0.31</v>
          </cell>
          <cell r="W57" t="str">
            <v/>
          </cell>
        </row>
        <row r="68">
          <cell r="K68">
            <v>7.81</v>
          </cell>
          <cell r="L68">
            <v>10.030000000000001</v>
          </cell>
          <cell r="M68" t="str">
            <v/>
          </cell>
        </row>
        <row r="91">
          <cell r="K91" t="str">
            <v/>
          </cell>
          <cell r="L91">
            <v>0.02</v>
          </cell>
          <cell r="M91" t="str">
            <v/>
          </cell>
        </row>
      </sheetData>
      <sheetData sheetId="16"/>
      <sheetData sheetId="17"/>
      <sheetData sheetId="18"/>
      <sheetData sheetId="19"/>
      <sheetData sheetId="20">
        <row r="64">
          <cell r="D64">
            <v>304.47000000000003</v>
          </cell>
        </row>
        <row r="72">
          <cell r="D72">
            <v>46.2</v>
          </cell>
        </row>
        <row r="76">
          <cell r="D76">
            <v>160</v>
          </cell>
        </row>
        <row r="79">
          <cell r="D79">
            <v>160</v>
          </cell>
        </row>
        <row r="83">
          <cell r="D83">
            <v>16</v>
          </cell>
        </row>
        <row r="88">
          <cell r="D88">
            <v>194</v>
          </cell>
        </row>
      </sheetData>
      <sheetData sheetId="21">
        <row r="78">
          <cell r="D78">
            <v>428.69999999999993</v>
          </cell>
        </row>
        <row r="86">
          <cell r="D86">
            <v>33</v>
          </cell>
        </row>
        <row r="91">
          <cell r="D91">
            <v>5</v>
          </cell>
        </row>
        <row r="97">
          <cell r="D97">
            <v>15</v>
          </cell>
        </row>
        <row r="102">
          <cell r="D102">
            <v>24</v>
          </cell>
        </row>
        <row r="110">
          <cell r="D110">
            <v>195.3</v>
          </cell>
        </row>
        <row r="114">
          <cell r="D114">
            <v>264.66000000000003</v>
          </cell>
        </row>
      </sheetData>
      <sheetData sheetId="22">
        <row r="37">
          <cell r="D37">
            <v>200.36</v>
          </cell>
          <cell r="M37">
            <v>3674.4559400000003</v>
          </cell>
        </row>
        <row r="48">
          <cell r="D48">
            <v>100</v>
          </cell>
          <cell r="M48">
            <v>3469.9693699999998</v>
          </cell>
        </row>
        <row r="64">
          <cell r="D64">
            <v>15</v>
          </cell>
          <cell r="M64">
            <v>186.05</v>
          </cell>
        </row>
        <row r="73">
          <cell r="D73">
            <v>92.78</v>
          </cell>
          <cell r="M73">
            <v>96.51973000000001</v>
          </cell>
        </row>
      </sheetData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4 (производство)"/>
      <sheetName val="Приложение 5 (НВВ)"/>
      <sheetName val="Прил. 5 (НВВ) без льг.и инд.пр."/>
      <sheetName val="Приложение 6 (кальк)"/>
      <sheetName val="Приложение 6 (кальк) без льгот"/>
      <sheetName val="Приложение 7 "/>
      <sheetName val="Таблица 7.1"/>
      <sheetName val="Таблица 7.2"/>
      <sheetName val="Таблица 7.3 Подг ТУ"/>
      <sheetName val="Таблица 7.4 разраб_ ПСД"/>
      <sheetName val="Таблица 7.5 Проверка вып.ТУ"/>
      <sheetName val="Таблица 7.6 Ростехнадзор"/>
      <sheetName val="Таблица 7.7 факт присоед"/>
      <sheetName val="Таблица 7.8 прям"/>
      <sheetName val="Таблица 7.9 косв"/>
      <sheetName val="Приложение 8 инвест за 3 года "/>
      <sheetName val="Приложение 9 СТС"/>
      <sheetName val="Расчет Удельных прил.9.1."/>
      <sheetName val="Тариф ставки"/>
      <sheetName val="Ст-ть маш час"/>
      <sheetName val="стр.2014"/>
      <sheetName val="стр.2015"/>
      <sheetName val="стр.2016"/>
      <sheetName val="Затраты 2015"/>
      <sheetName val="СС 2015"/>
      <sheetName val="УО 6 мес.2016"/>
      <sheetName val="СС 2016 (1-е полуг.)"/>
      <sheetName val="Об.сч.62 1-е полуг.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2">
          <cell r="N12">
            <v>14.866999999999999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4 (производство)"/>
      <sheetName val="Приложение 5 (НВВ)"/>
      <sheetName val="Прил. 5 (НВВ) без льг.и инд.пр."/>
      <sheetName val="Приложение 6 (кальк)"/>
      <sheetName val="Приложение 6 (кальк) без льгот"/>
      <sheetName val="Приложение 7 "/>
      <sheetName val="Таблица 7.1"/>
      <sheetName val="Таблица 7.2"/>
      <sheetName val="Таблица 7.3 Подг ТУ"/>
      <sheetName val="Таблица 7.4 разраб_ ПСД"/>
      <sheetName val="Таблица 7.5 Проверка вып.ТУ"/>
      <sheetName val="Таблица 7.6 Ростехнадзор"/>
      <sheetName val="Таблица 7.7 факт присоед"/>
      <sheetName val="Таблица 7.8 прям"/>
      <sheetName val="Таблица 7.9 косв"/>
      <sheetName val="Приложение 8 инвест за 3 года "/>
      <sheetName val="Приложение 9 СТС"/>
      <sheetName val="Расчет Удельных прил.9.1."/>
      <sheetName val="Тариф ставки"/>
      <sheetName val="Ст-ть маш час"/>
      <sheetName val="стр.2014"/>
      <sheetName val="стр.2015"/>
      <sheetName val="стр.2016"/>
      <sheetName val="Затраты 2015"/>
      <sheetName val="СС 2015"/>
      <sheetName val="УО 6 мес.2016"/>
      <sheetName val="СС 2016 (1-е полуг.)"/>
      <sheetName val="Об.сч.62 1-е полуг.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25">
          <cell r="N25">
            <v>6.1033333333333326</v>
          </cell>
          <cell r="AD25">
            <v>399.39000000000004</v>
          </cell>
        </row>
        <row r="26">
          <cell r="AD26">
            <v>183.06666666666669</v>
          </cell>
        </row>
        <row r="38">
          <cell r="AD38">
            <v>82.5</v>
          </cell>
        </row>
        <row r="48">
          <cell r="AD48">
            <v>87.5</v>
          </cell>
        </row>
        <row r="59">
          <cell r="AD59">
            <v>44.26</v>
          </cell>
        </row>
        <row r="70">
          <cell r="AD70">
            <v>134.76666666666665</v>
          </cell>
        </row>
        <row r="93">
          <cell r="AD93">
            <v>264.66000000000003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Л-0,4"/>
      <sheetName val="ВЛ-10(до 500 м)"/>
      <sheetName val="ТП"/>
      <sheetName val="ЛС 2013-2014"/>
      <sheetName val="ВЛ-0,4 (2015)"/>
      <sheetName val="ВЛ-10(до 500 м) (2015)"/>
      <sheetName val="ТП (2015)"/>
      <sheetName val="ВЛ-10 (более)"/>
    </sheetNames>
    <sheetDataSet>
      <sheetData sheetId="0">
        <row r="66">
          <cell r="I66">
            <v>2201383.1100000003</v>
          </cell>
        </row>
        <row r="69">
          <cell r="I69">
            <v>556731.74</v>
          </cell>
        </row>
        <row r="72">
          <cell r="I72">
            <v>66242.350000000006</v>
          </cell>
        </row>
      </sheetData>
      <sheetData sheetId="1">
        <row r="11">
          <cell r="I11">
            <v>710003.97000000009</v>
          </cell>
        </row>
        <row r="14">
          <cell r="I14">
            <v>218013.61000000002</v>
          </cell>
        </row>
        <row r="19">
          <cell r="I19">
            <v>4231029.68</v>
          </cell>
        </row>
      </sheetData>
      <sheetData sheetId="2">
        <row r="7">
          <cell r="I7">
            <v>247822.46999999997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0"/>
      <sheetName val="10.1"/>
      <sheetName val="10.1.1 реестр исп.дог."/>
      <sheetName val="10.1.2 дог.с инвест."/>
      <sheetName val="Затраты 2015"/>
      <sheetName val="10.2"/>
      <sheetName val="10.3"/>
      <sheetName val="3.3.1 - реестр IVкв. 2015"/>
      <sheetName val="10.3.1 реестр исп до 150"/>
      <sheetName val="11. АНАЛИЗ"/>
      <sheetName val="12. Анализ производства"/>
      <sheetName val="выручка по заявителям"/>
    </sheetNames>
    <sheetDataSet>
      <sheetData sheetId="0">
        <row r="8">
          <cell r="K8">
            <v>26850.343548388013</v>
          </cell>
        </row>
      </sheetData>
      <sheetData sheetId="1">
        <row r="49">
          <cell r="F49">
            <v>8.9679999999999982</v>
          </cell>
          <cell r="G49">
            <v>6.2650000000000015</v>
          </cell>
          <cell r="H49">
            <v>4.4020000000000001</v>
          </cell>
        </row>
        <row r="50">
          <cell r="F50">
            <v>1.5989999999999998</v>
          </cell>
          <cell r="G50">
            <v>0.33999999999999997</v>
          </cell>
          <cell r="H50">
            <v>3.6160000000000005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iem@ke.mrsk-yuga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J54"/>
  <sheetViews>
    <sheetView tabSelected="1" view="pageBreakPreview" zoomScale="85" zoomScaleNormal="100" zoomScaleSheetLayoutView="85" workbookViewId="0">
      <selection activeCell="A8" sqref="A8:I8"/>
    </sheetView>
  </sheetViews>
  <sheetFormatPr defaultRowHeight="12.75" x14ac:dyDescent="0.2"/>
  <cols>
    <col min="4" max="4" width="5.85546875" customWidth="1"/>
    <col min="9" max="9" width="16.85546875" customWidth="1"/>
  </cols>
  <sheetData>
    <row r="1" spans="1:9" x14ac:dyDescent="0.2">
      <c r="A1" s="2"/>
      <c r="B1" s="2"/>
      <c r="C1" s="2"/>
      <c r="D1" s="2"/>
      <c r="E1" s="2"/>
      <c r="F1" s="266" t="s">
        <v>225</v>
      </c>
      <c r="G1" s="266"/>
      <c r="H1" s="266"/>
      <c r="I1" s="266"/>
    </row>
    <row r="2" spans="1:9" ht="31.5" customHeight="1" x14ac:dyDescent="0.2">
      <c r="A2" s="2"/>
      <c r="B2" s="2"/>
      <c r="C2" s="2"/>
      <c r="D2" s="2"/>
      <c r="E2" s="2"/>
      <c r="F2" s="272" t="s">
        <v>98</v>
      </c>
      <c r="G2" s="272"/>
      <c r="H2" s="272"/>
      <c r="I2" s="27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2"/>
      <c r="D4" s="2"/>
      <c r="E4" s="2"/>
      <c r="F4" s="2"/>
      <c r="G4" s="2"/>
      <c r="H4" s="2"/>
      <c r="I4" s="2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ht="18.75" x14ac:dyDescent="0.3">
      <c r="A6" s="273" t="s">
        <v>99</v>
      </c>
      <c r="B6" s="273"/>
      <c r="C6" s="273"/>
      <c r="D6" s="273"/>
      <c r="E6" s="273"/>
      <c r="F6" s="273"/>
      <c r="G6" s="273"/>
      <c r="H6" s="273"/>
      <c r="I6" s="273"/>
    </row>
    <row r="7" spans="1:9" ht="18.75" x14ac:dyDescent="0.3">
      <c r="A7" s="273" t="s">
        <v>100</v>
      </c>
      <c r="B7" s="273"/>
      <c r="C7" s="273"/>
      <c r="D7" s="273"/>
      <c r="E7" s="273"/>
      <c r="F7" s="273"/>
      <c r="G7" s="273"/>
      <c r="H7" s="273"/>
      <c r="I7" s="273"/>
    </row>
    <row r="8" spans="1:9" ht="18.75" customHeight="1" x14ac:dyDescent="0.3">
      <c r="A8" s="274" t="s">
        <v>269</v>
      </c>
      <c r="B8" s="274"/>
      <c r="C8" s="274"/>
      <c r="D8" s="274"/>
      <c r="E8" s="274"/>
      <c r="F8" s="274"/>
      <c r="G8" s="274"/>
      <c r="H8" s="274"/>
      <c r="I8" s="274"/>
    </row>
    <row r="9" spans="1:9" ht="18.75" customHeight="1" x14ac:dyDescent="0.3">
      <c r="A9" s="5"/>
      <c r="B9" s="5"/>
      <c r="C9" s="5"/>
      <c r="D9" s="5"/>
      <c r="E9" s="5"/>
      <c r="F9" s="5"/>
      <c r="G9" s="5"/>
      <c r="H9" s="5"/>
      <c r="I9" s="5"/>
    </row>
    <row r="10" spans="1:9" ht="18.75" x14ac:dyDescent="0.3">
      <c r="A10" s="5"/>
      <c r="B10" s="5"/>
      <c r="C10" s="5"/>
      <c r="D10" s="5"/>
      <c r="E10" s="5"/>
      <c r="F10" s="5"/>
      <c r="G10" s="5"/>
      <c r="H10" s="5"/>
      <c r="I10" s="5"/>
    </row>
    <row r="11" spans="1:9" ht="45.75" customHeight="1" x14ac:dyDescent="0.3">
      <c r="A11" s="52" t="s">
        <v>101</v>
      </c>
      <c r="B11" s="50"/>
      <c r="C11" s="50"/>
      <c r="D11" s="51"/>
      <c r="E11" s="268" t="s">
        <v>234</v>
      </c>
      <c r="F11" s="268"/>
      <c r="G11" s="268"/>
      <c r="H11" s="268"/>
      <c r="I11" s="268"/>
    </row>
    <row r="12" spans="1:9" ht="18.75" x14ac:dyDescent="0.3">
      <c r="A12" s="5"/>
      <c r="B12" s="5"/>
      <c r="C12" s="5"/>
      <c r="D12" s="5"/>
      <c r="E12" s="22"/>
      <c r="F12" s="22"/>
      <c r="G12" s="22"/>
      <c r="H12" s="22"/>
      <c r="I12" s="22"/>
    </row>
    <row r="13" spans="1:9" ht="18.75" x14ac:dyDescent="0.3">
      <c r="A13" s="50" t="s">
        <v>102</v>
      </c>
      <c r="B13" s="50"/>
      <c r="C13" s="50"/>
      <c r="D13" s="51"/>
      <c r="E13" s="265" t="s">
        <v>233</v>
      </c>
      <c r="F13" s="265"/>
      <c r="G13" s="265"/>
      <c r="H13" s="265"/>
      <c r="I13" s="265"/>
    </row>
    <row r="14" spans="1:9" ht="18.75" x14ac:dyDescent="0.3">
      <c r="A14" s="5"/>
      <c r="B14" s="5"/>
      <c r="C14" s="5"/>
      <c r="D14" s="5"/>
      <c r="E14" s="22"/>
      <c r="F14" s="22"/>
      <c r="G14" s="22"/>
      <c r="H14" s="22"/>
      <c r="I14" s="22"/>
    </row>
    <row r="15" spans="1:9" ht="15.75" x14ac:dyDescent="0.25">
      <c r="A15" s="267" t="s">
        <v>103</v>
      </c>
      <c r="B15" s="267"/>
      <c r="C15" s="267"/>
      <c r="D15" s="267"/>
      <c r="E15" s="265" t="s">
        <v>235</v>
      </c>
      <c r="F15" s="265"/>
      <c r="G15" s="265"/>
      <c r="H15" s="265"/>
      <c r="I15" s="265"/>
    </row>
    <row r="16" spans="1:9" ht="18.75" x14ac:dyDescent="0.3">
      <c r="A16" s="5"/>
      <c r="B16" s="5"/>
      <c r="C16" s="5"/>
      <c r="D16" s="5"/>
      <c r="E16" s="22"/>
      <c r="F16" s="22"/>
      <c r="G16" s="22"/>
      <c r="H16" s="22"/>
      <c r="I16" s="22"/>
    </row>
    <row r="17" spans="1:10" ht="15.75" x14ac:dyDescent="0.25">
      <c r="A17" s="267" t="s">
        <v>104</v>
      </c>
      <c r="B17" s="267"/>
      <c r="C17" s="267"/>
      <c r="D17" s="267"/>
      <c r="E17" s="265" t="s">
        <v>111</v>
      </c>
      <c r="F17" s="265"/>
      <c r="G17" s="265"/>
      <c r="H17" s="265"/>
      <c r="I17" s="265"/>
    </row>
    <row r="18" spans="1:10" ht="18.75" x14ac:dyDescent="0.3">
      <c r="A18" s="5"/>
      <c r="B18" s="5"/>
      <c r="C18" s="5"/>
      <c r="D18" s="5"/>
      <c r="E18" s="22"/>
      <c r="F18" s="22"/>
      <c r="G18" s="22"/>
      <c r="H18" s="22"/>
      <c r="I18" s="22"/>
      <c r="J18" s="44"/>
    </row>
    <row r="19" spans="1:10" ht="15.75" x14ac:dyDescent="0.25">
      <c r="A19" s="267" t="s">
        <v>105</v>
      </c>
      <c r="B19" s="267"/>
      <c r="C19" s="267"/>
      <c r="D19" s="267"/>
      <c r="E19" s="265">
        <v>6164266561</v>
      </c>
      <c r="F19" s="265"/>
      <c r="G19" s="265"/>
      <c r="H19" s="265"/>
      <c r="I19" s="265"/>
    </row>
    <row r="20" spans="1:10" ht="18.75" x14ac:dyDescent="0.3">
      <c r="A20" s="5"/>
      <c r="B20" s="5"/>
      <c r="C20" s="5"/>
      <c r="D20" s="5"/>
      <c r="E20" s="22"/>
      <c r="F20" s="22"/>
      <c r="G20" s="22"/>
      <c r="H20" s="22"/>
      <c r="I20" s="22"/>
    </row>
    <row r="21" spans="1:10" ht="15.75" x14ac:dyDescent="0.25">
      <c r="A21" s="267" t="s">
        <v>106</v>
      </c>
      <c r="B21" s="267"/>
      <c r="C21" s="267"/>
      <c r="D21" s="267"/>
      <c r="E21" s="265">
        <v>616401001</v>
      </c>
      <c r="F21" s="265"/>
      <c r="G21" s="265"/>
      <c r="H21" s="265"/>
      <c r="I21" s="265"/>
    </row>
    <row r="22" spans="1:10" ht="18.75" x14ac:dyDescent="0.3">
      <c r="A22" s="5"/>
      <c r="B22" s="5"/>
      <c r="C22" s="5"/>
      <c r="D22" s="5"/>
      <c r="E22" s="22"/>
      <c r="F22" s="22"/>
      <c r="G22" s="22"/>
      <c r="H22" s="22"/>
      <c r="I22" s="22"/>
    </row>
    <row r="23" spans="1:10" ht="55.5" customHeight="1" x14ac:dyDescent="0.2">
      <c r="A23" s="270" t="s">
        <v>107</v>
      </c>
      <c r="B23" s="270"/>
      <c r="C23" s="270"/>
      <c r="D23" s="270"/>
      <c r="E23" s="271" t="s">
        <v>237</v>
      </c>
      <c r="F23" s="271"/>
      <c r="G23" s="271"/>
      <c r="H23" s="271"/>
      <c r="I23" s="271"/>
    </row>
    <row r="24" spans="1:10" ht="18.75" x14ac:dyDescent="0.3">
      <c r="A24" s="5"/>
      <c r="B24" s="5"/>
      <c r="C24" s="5"/>
      <c r="D24" s="5"/>
      <c r="E24" s="22"/>
      <c r="F24" s="22"/>
      <c r="G24" s="22"/>
      <c r="H24" s="22"/>
      <c r="I24" s="22"/>
    </row>
    <row r="25" spans="1:10" ht="15.75" x14ac:dyDescent="0.25">
      <c r="A25" s="267" t="s">
        <v>108</v>
      </c>
      <c r="B25" s="267"/>
      <c r="C25" s="267"/>
      <c r="D25" s="267"/>
      <c r="E25" s="264" t="s">
        <v>238</v>
      </c>
      <c r="F25" s="265"/>
      <c r="G25" s="265"/>
      <c r="H25" s="265"/>
      <c r="I25" s="265"/>
    </row>
    <row r="26" spans="1:10" ht="18.75" x14ac:dyDescent="0.3">
      <c r="A26" s="5"/>
      <c r="B26" s="5"/>
      <c r="C26" s="5"/>
      <c r="D26" s="5"/>
      <c r="E26" s="22"/>
      <c r="F26" s="22"/>
      <c r="G26" s="22"/>
      <c r="H26" s="22"/>
      <c r="I26" s="22"/>
    </row>
    <row r="27" spans="1:10" ht="45" customHeight="1" x14ac:dyDescent="0.2">
      <c r="A27" s="270" t="s">
        <v>109</v>
      </c>
      <c r="B27" s="270"/>
      <c r="C27" s="270"/>
      <c r="D27" s="270"/>
      <c r="E27" s="269" t="s">
        <v>239</v>
      </c>
      <c r="F27" s="269"/>
      <c r="G27" s="269"/>
      <c r="H27" s="269"/>
      <c r="I27" s="269"/>
    </row>
    <row r="28" spans="1:10" ht="18.75" x14ac:dyDescent="0.3">
      <c r="A28" s="5"/>
      <c r="B28" s="5"/>
      <c r="C28" s="5"/>
      <c r="D28" s="5"/>
      <c r="E28" s="22"/>
      <c r="F28" s="22"/>
      <c r="G28" s="22"/>
      <c r="H28" s="22"/>
      <c r="I28" s="22"/>
    </row>
    <row r="29" spans="1:10" ht="15.75" customHeight="1" x14ac:dyDescent="0.25">
      <c r="A29" s="267" t="s">
        <v>110</v>
      </c>
      <c r="B29" s="267"/>
      <c r="C29" s="267"/>
      <c r="D29" s="267"/>
      <c r="E29" s="269" t="s">
        <v>240</v>
      </c>
      <c r="F29" s="269"/>
      <c r="G29" s="269"/>
      <c r="H29" s="269"/>
      <c r="I29" s="269"/>
    </row>
    <row r="30" spans="1:10" ht="18.75" x14ac:dyDescent="0.3">
      <c r="A30" s="5"/>
      <c r="B30" s="5"/>
      <c r="C30" s="5"/>
      <c r="D30" s="5"/>
      <c r="E30" s="5"/>
      <c r="F30" s="5"/>
      <c r="G30" s="5"/>
      <c r="H30" s="5"/>
      <c r="I30" s="5"/>
    </row>
    <row r="31" spans="1:10" ht="18.75" x14ac:dyDescent="0.3">
      <c r="A31" s="5"/>
      <c r="B31" s="5"/>
      <c r="C31" s="5"/>
      <c r="D31" s="5"/>
      <c r="E31" s="5"/>
      <c r="F31" s="5"/>
      <c r="G31" s="5"/>
      <c r="H31" s="5"/>
      <c r="I31" s="5"/>
    </row>
    <row r="32" spans="1:10" ht="18.75" x14ac:dyDescent="0.3">
      <c r="A32" s="5"/>
      <c r="B32" s="5"/>
      <c r="C32" s="5"/>
      <c r="D32" s="5"/>
      <c r="E32" s="5"/>
      <c r="F32" s="5"/>
      <c r="G32" s="5"/>
      <c r="H32" s="5"/>
      <c r="I32" s="5"/>
    </row>
    <row r="33" spans="1:9" ht="18.75" x14ac:dyDescent="0.3">
      <c r="A33" s="5"/>
      <c r="B33" s="5"/>
      <c r="C33" s="5"/>
      <c r="D33" s="5"/>
      <c r="E33" s="5"/>
      <c r="F33" s="5"/>
      <c r="G33" s="5"/>
      <c r="H33" s="5"/>
      <c r="I33" s="5"/>
    </row>
    <row r="34" spans="1:9" ht="18.75" x14ac:dyDescent="0.3">
      <c r="A34" s="5"/>
      <c r="B34" s="5"/>
      <c r="C34" s="5"/>
      <c r="D34" s="5"/>
      <c r="E34" s="5"/>
      <c r="F34" s="5"/>
      <c r="G34" s="5"/>
      <c r="H34" s="5"/>
      <c r="I34" s="5"/>
    </row>
    <row r="35" spans="1:9" ht="18.75" x14ac:dyDescent="0.3">
      <c r="A35" s="5"/>
      <c r="B35" s="5"/>
      <c r="C35" s="5"/>
      <c r="D35" s="5"/>
      <c r="E35" s="5"/>
      <c r="F35" s="5"/>
      <c r="G35" s="5"/>
      <c r="H35" s="5"/>
      <c r="I35" s="5"/>
    </row>
    <row r="36" spans="1:9" ht="18.75" x14ac:dyDescent="0.3">
      <c r="A36" s="5"/>
      <c r="B36" s="5"/>
      <c r="C36" s="5"/>
      <c r="D36" s="5"/>
      <c r="E36" s="5"/>
      <c r="F36" s="5"/>
      <c r="G36" s="5"/>
      <c r="H36" s="5"/>
      <c r="I36" s="5"/>
    </row>
    <row r="37" spans="1:9" ht="18.75" x14ac:dyDescent="0.3">
      <c r="A37" s="5"/>
      <c r="B37" s="5"/>
      <c r="C37" s="5"/>
      <c r="D37" s="5"/>
      <c r="E37" s="5"/>
      <c r="F37" s="5"/>
      <c r="G37" s="5"/>
      <c r="H37" s="5"/>
      <c r="I37" s="5"/>
    </row>
    <row r="38" spans="1:9" ht="18.75" x14ac:dyDescent="0.3">
      <c r="A38" s="5"/>
      <c r="B38" s="5"/>
      <c r="C38" s="5"/>
      <c r="D38" s="5"/>
      <c r="E38" s="5"/>
      <c r="F38" s="5"/>
      <c r="G38" s="5"/>
      <c r="H38" s="5"/>
      <c r="I38" s="5"/>
    </row>
    <row r="39" spans="1:9" ht="18.75" x14ac:dyDescent="0.3">
      <c r="A39" s="5"/>
      <c r="B39" s="5"/>
      <c r="C39" s="5"/>
      <c r="D39" s="5"/>
      <c r="E39" s="5"/>
      <c r="F39" s="5"/>
      <c r="G39" s="5"/>
      <c r="H39" s="5"/>
      <c r="I39" s="5"/>
    </row>
    <row r="40" spans="1:9" ht="18.75" x14ac:dyDescent="0.3">
      <c r="A40" s="5"/>
      <c r="B40" s="5"/>
      <c r="C40" s="5"/>
      <c r="D40" s="5"/>
      <c r="E40" s="5"/>
      <c r="F40" s="5"/>
      <c r="G40" s="5"/>
      <c r="H40" s="5"/>
      <c r="I40" s="5"/>
    </row>
    <row r="41" spans="1:9" ht="18.75" x14ac:dyDescent="0.3">
      <c r="A41" s="5"/>
      <c r="B41" s="5"/>
      <c r="C41" s="5"/>
      <c r="D41" s="5"/>
      <c r="E41" s="5"/>
      <c r="F41" s="5"/>
      <c r="G41" s="5"/>
      <c r="H41" s="5"/>
      <c r="I41" s="5"/>
    </row>
    <row r="42" spans="1:9" ht="18.75" x14ac:dyDescent="0.3">
      <c r="A42" s="5"/>
      <c r="B42" s="5"/>
      <c r="C42" s="5"/>
      <c r="D42" s="5"/>
      <c r="E42" s="5"/>
      <c r="F42" s="5"/>
      <c r="G42" s="5"/>
      <c r="H42" s="5"/>
      <c r="I42" s="5"/>
    </row>
    <row r="43" spans="1:9" ht="18.75" x14ac:dyDescent="0.3">
      <c r="A43" s="5"/>
      <c r="B43" s="5"/>
      <c r="C43" s="5"/>
      <c r="D43" s="5"/>
      <c r="E43" s="5"/>
      <c r="F43" s="5"/>
      <c r="G43" s="5"/>
      <c r="H43" s="5"/>
      <c r="I43" s="5"/>
    </row>
    <row r="44" spans="1:9" ht="18.75" x14ac:dyDescent="0.3">
      <c r="A44" s="5"/>
      <c r="B44" s="5"/>
      <c r="C44" s="5"/>
      <c r="D44" s="5"/>
      <c r="E44" s="5"/>
      <c r="F44" s="5"/>
      <c r="G44" s="5"/>
      <c r="H44" s="5"/>
      <c r="I44" s="5"/>
    </row>
    <row r="45" spans="1:9" ht="18.75" x14ac:dyDescent="0.3">
      <c r="A45" s="5"/>
      <c r="B45" s="5"/>
      <c r="C45" s="5"/>
      <c r="D45" s="5"/>
      <c r="E45" s="5"/>
      <c r="F45" s="5"/>
      <c r="G45" s="5"/>
      <c r="H45" s="5"/>
      <c r="I45" s="5"/>
    </row>
    <row r="46" spans="1:9" ht="18.75" x14ac:dyDescent="0.3">
      <c r="A46" s="5"/>
      <c r="B46" s="5"/>
      <c r="C46" s="5"/>
      <c r="D46" s="5"/>
      <c r="E46" s="5"/>
      <c r="F46" s="5"/>
      <c r="G46" s="5"/>
      <c r="H46" s="5"/>
      <c r="I46" s="5"/>
    </row>
    <row r="47" spans="1:9" ht="18.75" x14ac:dyDescent="0.3">
      <c r="A47" s="5"/>
      <c r="B47" s="5"/>
      <c r="C47" s="5"/>
      <c r="D47" s="5"/>
      <c r="E47" s="5"/>
      <c r="F47" s="5"/>
      <c r="G47" s="5"/>
      <c r="H47" s="5"/>
      <c r="I47" s="5"/>
    </row>
    <row r="48" spans="1:9" ht="18.75" x14ac:dyDescent="0.3">
      <c r="A48" s="5"/>
      <c r="B48" s="5"/>
      <c r="C48" s="5"/>
      <c r="D48" s="5"/>
      <c r="E48" s="5"/>
      <c r="F48" s="5"/>
      <c r="G48" s="5"/>
      <c r="H48" s="5"/>
      <c r="I48" s="5"/>
    </row>
    <row r="49" spans="1:9" ht="18.75" x14ac:dyDescent="0.3">
      <c r="A49" s="5"/>
      <c r="B49" s="5"/>
      <c r="C49" s="5"/>
      <c r="D49" s="5"/>
      <c r="E49" s="5"/>
      <c r="F49" s="5"/>
      <c r="G49" s="5"/>
      <c r="H49" s="5"/>
      <c r="I49" s="5"/>
    </row>
    <row r="50" spans="1:9" ht="18.75" x14ac:dyDescent="0.3">
      <c r="A50" s="5"/>
      <c r="B50" s="5"/>
      <c r="C50" s="5"/>
      <c r="D50" s="5"/>
      <c r="E50" s="5"/>
      <c r="F50" s="5"/>
      <c r="G50" s="5"/>
      <c r="H50" s="5"/>
      <c r="I50" s="5"/>
    </row>
    <row r="51" spans="1:9" ht="18.75" x14ac:dyDescent="0.3">
      <c r="A51" s="5"/>
      <c r="B51" s="5"/>
      <c r="C51" s="5"/>
      <c r="D51" s="5"/>
      <c r="E51" s="5"/>
      <c r="F51" s="5"/>
      <c r="G51" s="5"/>
      <c r="H51" s="5"/>
      <c r="I51" s="5"/>
    </row>
    <row r="52" spans="1:9" ht="18.75" x14ac:dyDescent="0.3">
      <c r="A52" s="5"/>
      <c r="B52" s="5"/>
      <c r="C52" s="5"/>
      <c r="D52" s="5"/>
      <c r="E52" s="5"/>
      <c r="F52" s="5"/>
      <c r="G52" s="5"/>
      <c r="H52" s="5"/>
      <c r="I52" s="5"/>
    </row>
    <row r="53" spans="1:9" ht="18.75" x14ac:dyDescent="0.3">
      <c r="A53" s="5"/>
      <c r="B53" s="5"/>
      <c r="C53" s="5"/>
      <c r="D53" s="5"/>
      <c r="E53" s="5"/>
      <c r="F53" s="5"/>
      <c r="G53" s="5"/>
      <c r="H53" s="5"/>
      <c r="I53" s="5"/>
    </row>
    <row r="54" spans="1:9" ht="18.75" x14ac:dyDescent="0.3">
      <c r="A54" s="5"/>
      <c r="B54" s="5"/>
      <c r="C54" s="5"/>
      <c r="D54" s="5"/>
      <c r="E54" s="5"/>
      <c r="F54" s="5"/>
      <c r="G54" s="5"/>
      <c r="H54" s="5"/>
      <c r="I54" s="5"/>
    </row>
  </sheetData>
  <mergeCells count="23">
    <mergeCell ref="A23:D23"/>
    <mergeCell ref="E23:I23"/>
    <mergeCell ref="A19:D19"/>
    <mergeCell ref="F2:I2"/>
    <mergeCell ref="A6:I6"/>
    <mergeCell ref="A7:I7"/>
    <mergeCell ref="A8:I8"/>
    <mergeCell ref="E25:I25"/>
    <mergeCell ref="F1:I1"/>
    <mergeCell ref="A29:D29"/>
    <mergeCell ref="E11:I11"/>
    <mergeCell ref="E13:I13"/>
    <mergeCell ref="E15:I15"/>
    <mergeCell ref="E17:I17"/>
    <mergeCell ref="E29:I29"/>
    <mergeCell ref="A15:D15"/>
    <mergeCell ref="A25:D25"/>
    <mergeCell ref="A27:D27"/>
    <mergeCell ref="E19:I19"/>
    <mergeCell ref="E27:I27"/>
    <mergeCell ref="E21:I21"/>
    <mergeCell ref="A21:D21"/>
    <mergeCell ref="A17:D17"/>
  </mergeCells>
  <hyperlinks>
    <hyperlink ref="E25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CC"/>
  </sheetPr>
  <dimension ref="A1:P105"/>
  <sheetViews>
    <sheetView view="pageBreakPreview" zoomScale="55" zoomScaleNormal="70" zoomScaleSheetLayoutView="55" workbookViewId="0">
      <selection activeCell="A7" sqref="A7:K7"/>
    </sheetView>
  </sheetViews>
  <sheetFormatPr defaultRowHeight="12.75" x14ac:dyDescent="0.2"/>
  <cols>
    <col min="1" max="1" width="7.5703125" customWidth="1"/>
    <col min="2" max="2" width="73.85546875" customWidth="1"/>
    <col min="3" max="3" width="11.28515625" customWidth="1"/>
    <col min="4" max="4" width="10.5703125" bestFit="1" customWidth="1"/>
    <col min="5" max="7" width="12.28515625" customWidth="1"/>
    <col min="8" max="8" width="14.42578125" customWidth="1"/>
    <col min="9" max="9" width="12.140625" customWidth="1"/>
    <col min="10" max="10" width="12.28515625" customWidth="1"/>
    <col min="11" max="11" width="12.140625" customWidth="1"/>
    <col min="12" max="12" width="18.140625" customWidth="1"/>
    <col min="13" max="13" width="10.85546875" bestFit="1" customWidth="1"/>
  </cols>
  <sheetData>
    <row r="1" spans="1:16" s="1" customFormat="1" ht="15.75" customHeight="1" x14ac:dyDescent="0.2">
      <c r="D1" s="53"/>
      <c r="E1" s="288" t="s">
        <v>226</v>
      </c>
      <c r="F1" s="288"/>
      <c r="G1" s="288"/>
      <c r="H1" s="288"/>
      <c r="I1" s="54"/>
      <c r="J1" s="54"/>
      <c r="K1" s="54"/>
      <c r="L1" s="54"/>
    </row>
    <row r="2" spans="1:16" s="1" customFormat="1" ht="50.25" customHeight="1" x14ac:dyDescent="0.2">
      <c r="D2" s="55"/>
      <c r="E2" s="55"/>
      <c r="F2" s="288" t="s">
        <v>98</v>
      </c>
      <c r="G2" s="288"/>
      <c r="H2" s="288"/>
      <c r="I2" s="54"/>
      <c r="J2" s="54"/>
      <c r="K2" s="54"/>
      <c r="L2" s="54"/>
    </row>
    <row r="3" spans="1:16" s="1" customFormat="1" ht="15.75" customHeight="1" x14ac:dyDescent="0.2">
      <c r="D3" s="291"/>
      <c r="E3" s="291"/>
      <c r="F3" s="291"/>
      <c r="G3" s="291"/>
    </row>
    <row r="4" spans="1:16" ht="15" customHeight="1" x14ac:dyDescent="0.2"/>
    <row r="5" spans="1:16" ht="21" customHeight="1" x14ac:dyDescent="0.3">
      <c r="A5" s="273" t="s">
        <v>112</v>
      </c>
      <c r="B5" s="273"/>
      <c r="C5" s="273"/>
      <c r="D5" s="273"/>
      <c r="E5" s="273"/>
      <c r="F5" s="273"/>
      <c r="G5" s="273"/>
      <c r="H5" s="273"/>
      <c r="I5" s="278"/>
      <c r="J5" s="278"/>
      <c r="K5" s="278"/>
      <c r="L5" s="117"/>
    </row>
    <row r="6" spans="1:16" ht="43.5" customHeight="1" x14ac:dyDescent="0.2">
      <c r="A6" s="298" t="s">
        <v>236</v>
      </c>
      <c r="B6" s="298"/>
      <c r="C6" s="298"/>
      <c r="D6" s="298"/>
      <c r="E6" s="298"/>
      <c r="F6" s="298"/>
      <c r="G6" s="298"/>
      <c r="H6" s="298"/>
      <c r="I6" s="299"/>
      <c r="J6" s="299"/>
      <c r="K6" s="299"/>
      <c r="L6" s="120"/>
    </row>
    <row r="7" spans="1:16" ht="23.25" customHeight="1" x14ac:dyDescent="0.2">
      <c r="A7" s="298" t="s">
        <v>270</v>
      </c>
      <c r="B7" s="298"/>
      <c r="C7" s="298"/>
      <c r="D7" s="298"/>
      <c r="E7" s="298"/>
      <c r="F7" s="298"/>
      <c r="G7" s="298"/>
      <c r="H7" s="298"/>
      <c r="I7" s="299"/>
      <c r="J7" s="299"/>
      <c r="K7" s="299"/>
      <c r="L7" s="120"/>
    </row>
    <row r="8" spans="1:16" ht="15.75" x14ac:dyDescent="0.25">
      <c r="A8" s="22"/>
      <c r="B8" s="22"/>
      <c r="C8" s="22"/>
    </row>
    <row r="9" spans="1:16" ht="64.5" customHeight="1" x14ac:dyDescent="0.2">
      <c r="A9" s="281"/>
      <c r="B9" s="281" t="s">
        <v>113</v>
      </c>
      <c r="C9" s="281" t="s">
        <v>31</v>
      </c>
      <c r="D9" s="285" t="s">
        <v>114</v>
      </c>
      <c r="E9" s="282"/>
      <c r="F9" s="282"/>
      <c r="G9" s="282"/>
      <c r="H9" s="282"/>
      <c r="I9" s="283"/>
      <c r="J9" s="283"/>
      <c r="K9" s="284"/>
      <c r="L9" s="123"/>
    </row>
    <row r="10" spans="1:16" ht="64.5" customHeight="1" x14ac:dyDescent="0.2">
      <c r="A10" s="281"/>
      <c r="B10" s="281"/>
      <c r="C10" s="281"/>
      <c r="D10" s="285" t="s">
        <v>115</v>
      </c>
      <c r="E10" s="282"/>
      <c r="F10" s="282"/>
      <c r="G10" s="295"/>
      <c r="H10" s="282" t="s">
        <v>210</v>
      </c>
      <c r="I10" s="283"/>
      <c r="J10" s="283"/>
      <c r="K10" s="284"/>
      <c r="L10" s="123"/>
    </row>
    <row r="11" spans="1:16" ht="15.75" customHeight="1" x14ac:dyDescent="0.2">
      <c r="A11" s="281"/>
      <c r="B11" s="281"/>
      <c r="C11" s="281"/>
      <c r="D11" s="23" t="s">
        <v>37</v>
      </c>
      <c r="E11" s="23" t="s">
        <v>45</v>
      </c>
      <c r="F11" s="122" t="s">
        <v>82</v>
      </c>
      <c r="G11" s="137" t="s">
        <v>83</v>
      </c>
      <c r="H11" s="119" t="s">
        <v>37</v>
      </c>
      <c r="I11" s="23" t="s">
        <v>45</v>
      </c>
      <c r="J11" s="122" t="s">
        <v>82</v>
      </c>
      <c r="K11" s="118" t="s">
        <v>83</v>
      </c>
      <c r="L11" s="124"/>
    </row>
    <row r="12" spans="1:16" ht="69.75" customHeight="1" x14ac:dyDescent="0.2">
      <c r="A12" s="114" t="s">
        <v>198</v>
      </c>
      <c r="B12" s="285" t="s">
        <v>116</v>
      </c>
      <c r="C12" s="282"/>
      <c r="D12" s="282"/>
      <c r="E12" s="282"/>
      <c r="F12" s="282"/>
      <c r="G12" s="282"/>
      <c r="H12" s="283"/>
      <c r="I12" s="283"/>
      <c r="J12" s="283"/>
      <c r="K12" s="284"/>
      <c r="L12" s="125"/>
      <c r="M12" s="280"/>
      <c r="N12" s="280"/>
      <c r="O12" s="277"/>
      <c r="P12" s="278"/>
    </row>
    <row r="13" spans="1:16" ht="49.5" customHeight="1" x14ac:dyDescent="0.2">
      <c r="A13" s="115"/>
      <c r="B13" s="29" t="s">
        <v>78</v>
      </c>
      <c r="C13" s="26" t="s">
        <v>38</v>
      </c>
      <c r="D13" s="286">
        <f>SUM(D14:E17)</f>
        <v>12933.310358526398</v>
      </c>
      <c r="E13" s="287"/>
      <c r="F13" s="326"/>
      <c r="G13" s="327"/>
      <c r="H13" s="301">
        <f>D13</f>
        <v>12933.310358526398</v>
      </c>
      <c r="I13" s="303"/>
      <c r="J13" s="46"/>
      <c r="K13" s="46"/>
      <c r="L13" s="126"/>
      <c r="M13" s="279"/>
      <c r="N13" s="278"/>
    </row>
    <row r="14" spans="1:16" ht="57" customHeight="1" x14ac:dyDescent="0.2">
      <c r="A14" s="115" t="s">
        <v>197</v>
      </c>
      <c r="B14" s="57" t="s">
        <v>196</v>
      </c>
      <c r="C14" s="26" t="s">
        <v>38</v>
      </c>
      <c r="D14" s="275">
        <f>'[1]Прил. 9 СТС'!S12</f>
        <v>4624.8407929537425</v>
      </c>
      <c r="E14" s="303"/>
      <c r="F14" s="326"/>
      <c r="G14" s="327"/>
      <c r="H14" s="302">
        <f t="shared" ref="H14:H17" si="0">D14</f>
        <v>4624.8407929537425</v>
      </c>
      <c r="I14" s="303"/>
      <c r="J14" s="60"/>
      <c r="K14" s="60"/>
      <c r="L14" s="127"/>
    </row>
    <row r="15" spans="1:16" ht="47.25" x14ac:dyDescent="0.2">
      <c r="A15" s="115" t="s">
        <v>199</v>
      </c>
      <c r="B15" s="59" t="s">
        <v>200</v>
      </c>
      <c r="C15" s="26" t="s">
        <v>38</v>
      </c>
      <c r="D15" s="275">
        <f>'[1]Прил. 9 СТС'!S13</f>
        <v>3938.522643851235</v>
      </c>
      <c r="E15" s="303"/>
      <c r="F15" s="326"/>
      <c r="G15" s="327"/>
      <c r="H15" s="302">
        <f t="shared" si="0"/>
        <v>3938.522643851235</v>
      </c>
      <c r="I15" s="303"/>
      <c r="J15" s="60"/>
      <c r="K15" s="60"/>
      <c r="L15" s="127"/>
    </row>
    <row r="16" spans="1:16" ht="31.5" hidden="1" x14ac:dyDescent="0.2">
      <c r="A16" s="115" t="s">
        <v>201</v>
      </c>
      <c r="B16" s="59" t="s">
        <v>56</v>
      </c>
      <c r="C16" s="26" t="s">
        <v>38</v>
      </c>
      <c r="D16" s="328"/>
      <c r="E16" s="58"/>
      <c r="F16" s="58"/>
      <c r="G16" s="134"/>
      <c r="H16" s="257">
        <f t="shared" si="0"/>
        <v>0</v>
      </c>
      <c r="I16" s="60"/>
      <c r="J16" s="60"/>
      <c r="K16" s="60"/>
      <c r="L16" s="127"/>
    </row>
    <row r="17" spans="1:12" ht="75" customHeight="1" x14ac:dyDescent="0.2">
      <c r="A17" s="115" t="s">
        <v>202</v>
      </c>
      <c r="B17" s="59" t="s">
        <v>118</v>
      </c>
      <c r="C17" s="26" t="s">
        <v>38</v>
      </c>
      <c r="D17" s="275">
        <f>'[1]Прил. 9 СТС'!$S$15</f>
        <v>4369.9469217214209</v>
      </c>
      <c r="E17" s="303"/>
      <c r="F17" s="326"/>
      <c r="G17" s="327"/>
      <c r="H17" s="302">
        <f t="shared" si="0"/>
        <v>4369.9469217214209</v>
      </c>
      <c r="I17" s="303"/>
      <c r="J17" s="60"/>
      <c r="K17" s="60"/>
      <c r="L17" s="127"/>
    </row>
    <row r="18" spans="1:12" ht="42" customHeight="1" x14ac:dyDescent="0.2">
      <c r="A18" s="115"/>
      <c r="B18" s="29" t="s">
        <v>57</v>
      </c>
      <c r="C18" s="26" t="s">
        <v>38</v>
      </c>
      <c r="D18" s="46">
        <f>SUM(D19:D22)</f>
        <v>1872.5281995142111</v>
      </c>
      <c r="E18" s="46">
        <f>SUM(E19:E22)</f>
        <v>1560.2411940486461</v>
      </c>
      <c r="F18" s="46"/>
      <c r="G18" s="135"/>
      <c r="H18" s="133">
        <f>D18</f>
        <v>1872.5281995142111</v>
      </c>
      <c r="I18" s="46">
        <f>E18</f>
        <v>1560.2411940486461</v>
      </c>
      <c r="J18" s="46"/>
      <c r="K18" s="46"/>
      <c r="L18" s="126"/>
    </row>
    <row r="19" spans="1:12" ht="57" customHeight="1" x14ac:dyDescent="0.2">
      <c r="A19" s="115" t="s">
        <v>197</v>
      </c>
      <c r="B19" s="57" t="s">
        <v>196</v>
      </c>
      <c r="C19" s="26" t="s">
        <v>38</v>
      </c>
      <c r="D19" s="60">
        <f>'[1]Прил. 9 СТС'!S17</f>
        <v>624.73778616016853</v>
      </c>
      <c r="E19" s="60">
        <f>'[1]Прил. 9 СТС'!T17</f>
        <v>484.60178505131728</v>
      </c>
      <c r="F19" s="60"/>
      <c r="G19" s="136"/>
      <c r="H19" s="257">
        <f t="shared" ref="H19:H32" si="1">D19</f>
        <v>624.73778616016853</v>
      </c>
      <c r="I19" s="60">
        <f t="shared" ref="I19:I32" si="2">E19</f>
        <v>484.60178505131728</v>
      </c>
      <c r="J19" s="60"/>
      <c r="K19" s="60"/>
      <c r="L19" s="127"/>
    </row>
    <row r="20" spans="1:12" ht="47.25" x14ac:dyDescent="0.2">
      <c r="A20" s="115" t="s">
        <v>199</v>
      </c>
      <c r="B20" s="59" t="s">
        <v>200</v>
      </c>
      <c r="C20" s="26" t="s">
        <v>38</v>
      </c>
      <c r="D20" s="60">
        <f>'[1]Прил. 9 СТС'!S18</f>
        <v>539.80654367818636</v>
      </c>
      <c r="E20" s="60">
        <f>'[1]Прил. 9 СТС'!T18</f>
        <v>410.48510438477922</v>
      </c>
      <c r="F20" s="60"/>
      <c r="G20" s="136"/>
      <c r="H20" s="257">
        <f t="shared" si="1"/>
        <v>539.80654367818636</v>
      </c>
      <c r="I20" s="60">
        <f t="shared" si="2"/>
        <v>410.48510438477922</v>
      </c>
      <c r="J20" s="60"/>
      <c r="K20" s="60"/>
      <c r="L20" s="127"/>
    </row>
    <row r="21" spans="1:12" ht="31.5" x14ac:dyDescent="0.2">
      <c r="A21" s="115" t="s">
        <v>201</v>
      </c>
      <c r="B21" s="59" t="s">
        <v>56</v>
      </c>
      <c r="C21" s="26" t="s">
        <v>38</v>
      </c>
      <c r="D21" s="60">
        <f>'[1]Прил. 9 СТС'!S19</f>
        <v>0</v>
      </c>
      <c r="E21" s="60">
        <f>'[1]Прил. 9 СТС'!T19</f>
        <v>0</v>
      </c>
      <c r="F21" s="60"/>
      <c r="G21" s="136"/>
      <c r="H21" s="257">
        <f t="shared" si="1"/>
        <v>0</v>
      </c>
      <c r="I21" s="60">
        <f t="shared" si="2"/>
        <v>0</v>
      </c>
      <c r="J21" s="60"/>
      <c r="K21" s="60"/>
      <c r="L21" s="128"/>
    </row>
    <row r="22" spans="1:12" ht="78.75" x14ac:dyDescent="0.2">
      <c r="A22" s="115" t="s">
        <v>202</v>
      </c>
      <c r="B22" s="59" t="s">
        <v>118</v>
      </c>
      <c r="C22" s="26" t="s">
        <v>38</v>
      </c>
      <c r="D22" s="60">
        <f>'[1]Прил. 9 СТС'!S20</f>
        <v>707.98386967585634</v>
      </c>
      <c r="E22" s="60">
        <f>'[1]Прил. 9 СТС'!T20</f>
        <v>665.15430461254959</v>
      </c>
      <c r="F22" s="60"/>
      <c r="G22" s="136"/>
      <c r="H22" s="257">
        <f t="shared" si="1"/>
        <v>707.98386967585634</v>
      </c>
      <c r="I22" s="60">
        <f t="shared" si="2"/>
        <v>665.15430461254959</v>
      </c>
      <c r="J22" s="60"/>
      <c r="K22" s="60"/>
      <c r="L22" s="127"/>
    </row>
    <row r="23" spans="1:12" ht="46.5" customHeight="1" x14ac:dyDescent="0.2">
      <c r="A23" s="115"/>
      <c r="B23" s="29" t="s">
        <v>79</v>
      </c>
      <c r="C23" s="26" t="s">
        <v>38</v>
      </c>
      <c r="D23" s="158">
        <f>SUM(D24:D27)</f>
        <v>378.16245729876351</v>
      </c>
      <c r="E23" s="46">
        <f>SUM(E24:E27)</f>
        <v>193.80759004996969</v>
      </c>
      <c r="F23" s="46"/>
      <c r="G23" s="135"/>
      <c r="H23" s="158">
        <f t="shared" si="1"/>
        <v>378.16245729876351</v>
      </c>
      <c r="I23" s="46">
        <f t="shared" si="2"/>
        <v>193.80759004996969</v>
      </c>
      <c r="J23" s="46"/>
      <c r="K23" s="258"/>
      <c r="L23" s="126"/>
    </row>
    <row r="24" spans="1:12" ht="48" customHeight="1" x14ac:dyDescent="0.2">
      <c r="A24" s="115" t="s">
        <v>197</v>
      </c>
      <c r="B24" s="57" t="s">
        <v>117</v>
      </c>
      <c r="C24" s="26" t="s">
        <v>38</v>
      </c>
      <c r="D24" s="159">
        <f>'[1]Прил. 9 СТС'!S22</f>
        <v>146.28853869662598</v>
      </c>
      <c r="E24" s="159">
        <f>'[1]Прил. 9 СТС'!T22</f>
        <v>65.01712830961155</v>
      </c>
      <c r="F24" s="60"/>
      <c r="G24" s="136"/>
      <c r="H24" s="159">
        <f t="shared" si="1"/>
        <v>146.28853869662598</v>
      </c>
      <c r="I24" s="60">
        <f t="shared" si="2"/>
        <v>65.01712830961155</v>
      </c>
      <c r="J24" s="60"/>
      <c r="K24" s="60"/>
      <c r="L24" s="127"/>
    </row>
    <row r="25" spans="1:12" ht="39.75" customHeight="1" x14ac:dyDescent="0.2">
      <c r="A25" s="115" t="s">
        <v>199</v>
      </c>
      <c r="B25" s="59" t="s">
        <v>119</v>
      </c>
      <c r="C25" s="26" t="s">
        <v>38</v>
      </c>
      <c r="D25" s="159">
        <f>'[1]Прил. 9 СТС'!S23</f>
        <v>103.30320503106192</v>
      </c>
      <c r="E25" s="159">
        <f>'[1]Прил. 9 СТС'!T23</f>
        <v>48.256399601478883</v>
      </c>
      <c r="F25" s="60"/>
      <c r="G25" s="136"/>
      <c r="H25" s="159">
        <f t="shared" si="1"/>
        <v>103.30320503106192</v>
      </c>
      <c r="I25" s="60">
        <f t="shared" si="2"/>
        <v>48.256399601478883</v>
      </c>
      <c r="J25" s="60"/>
      <c r="K25" s="60"/>
      <c r="L25" s="127"/>
    </row>
    <row r="26" spans="1:12" ht="69" customHeight="1" x14ac:dyDescent="0.2">
      <c r="A26" s="115" t="s">
        <v>201</v>
      </c>
      <c r="B26" s="59" t="s">
        <v>120</v>
      </c>
      <c r="C26" s="26" t="s">
        <v>38</v>
      </c>
      <c r="D26" s="159">
        <f>'[1]Прил. 9 СТС'!S24</f>
        <v>0</v>
      </c>
      <c r="E26" s="159">
        <f>'[1]Прил. 9 СТС'!T24</f>
        <v>0</v>
      </c>
      <c r="F26" s="60"/>
      <c r="G26" s="136"/>
      <c r="H26" s="159">
        <f t="shared" si="1"/>
        <v>0</v>
      </c>
      <c r="I26" s="159">
        <f t="shared" si="2"/>
        <v>0</v>
      </c>
      <c r="J26" s="60"/>
      <c r="K26" s="60"/>
      <c r="L26" s="127"/>
    </row>
    <row r="27" spans="1:12" ht="78.75" x14ac:dyDescent="0.2">
      <c r="A27" s="115" t="s">
        <v>202</v>
      </c>
      <c r="B27" s="59" t="s">
        <v>118</v>
      </c>
      <c r="C27" s="26" t="s">
        <v>38</v>
      </c>
      <c r="D27" s="159">
        <f>'[1]Прил. 9 СТС'!S25</f>
        <v>128.5707135710756</v>
      </c>
      <c r="E27" s="159">
        <f>'[1]Прил. 9 СТС'!T25</f>
        <v>80.534062138879264</v>
      </c>
      <c r="F27" s="60"/>
      <c r="G27" s="136"/>
      <c r="H27" s="160">
        <f t="shared" si="1"/>
        <v>128.5707135710756</v>
      </c>
      <c r="I27" s="60">
        <f t="shared" si="2"/>
        <v>80.534062138879264</v>
      </c>
      <c r="J27" s="60"/>
      <c r="K27" s="60"/>
      <c r="L27" s="127"/>
    </row>
    <row r="28" spans="1:12" ht="35.25" customHeight="1" x14ac:dyDescent="0.2">
      <c r="A28" s="115"/>
      <c r="B28" s="29" t="s">
        <v>58</v>
      </c>
      <c r="C28" s="26" t="s">
        <v>38</v>
      </c>
      <c r="D28" s="158">
        <f t="shared" ref="D28:E28" si="3">SUM(D29:D32)</f>
        <v>0</v>
      </c>
      <c r="E28" s="158">
        <f t="shared" si="3"/>
        <v>0</v>
      </c>
      <c r="F28" s="46">
        <f>SUM(F29:F32)</f>
        <v>50.295199013837745</v>
      </c>
      <c r="G28" s="161">
        <f t="shared" ref="G28" si="4">SUM(G29:G32)</f>
        <v>0</v>
      </c>
      <c r="H28" s="162">
        <f t="shared" si="1"/>
        <v>0</v>
      </c>
      <c r="I28" s="163">
        <f t="shared" si="2"/>
        <v>0</v>
      </c>
      <c r="J28" s="258"/>
      <c r="K28" s="163"/>
      <c r="L28" s="126"/>
    </row>
    <row r="29" spans="1:12" ht="50.25" customHeight="1" x14ac:dyDescent="0.2">
      <c r="A29" s="115" t="s">
        <v>197</v>
      </c>
      <c r="B29" s="57" t="s">
        <v>117</v>
      </c>
      <c r="C29" s="26" t="s">
        <v>38</v>
      </c>
      <c r="D29" s="159">
        <f>'[1]Прил. 9 СТС'!S27</f>
        <v>0</v>
      </c>
      <c r="E29" s="159">
        <f>'[1]Прил. 9 СТС'!T27</f>
        <v>0</v>
      </c>
      <c r="F29" s="159">
        <f>'[1]Прил. 9 СТС'!U27</f>
        <v>18.896940869106391</v>
      </c>
      <c r="G29" s="329">
        <f>'[1]Прил. 9 СТС'!V27</f>
        <v>0</v>
      </c>
      <c r="H29" s="160">
        <f t="shared" si="1"/>
        <v>0</v>
      </c>
      <c r="I29" s="160">
        <f t="shared" si="2"/>
        <v>0</v>
      </c>
      <c r="J29" s="257"/>
      <c r="K29" s="160"/>
      <c r="L29" s="127"/>
    </row>
    <row r="30" spans="1:12" ht="41.25" customHeight="1" x14ac:dyDescent="0.2">
      <c r="A30" s="115" t="s">
        <v>199</v>
      </c>
      <c r="B30" s="59" t="s">
        <v>119</v>
      </c>
      <c r="C30" s="26" t="s">
        <v>38</v>
      </c>
      <c r="D30" s="159">
        <f>'[1]Прил. 9 СТС'!S28</f>
        <v>0</v>
      </c>
      <c r="E30" s="159">
        <f>'[1]Прил. 9 СТС'!T28</f>
        <v>0</v>
      </c>
      <c r="F30" s="159">
        <f>'[1]Прил. 9 СТС'!U28</f>
        <v>16.839390347257833</v>
      </c>
      <c r="G30" s="329">
        <f>'[1]Прил. 9 СТС'!V28</f>
        <v>0</v>
      </c>
      <c r="H30" s="160">
        <f t="shared" si="1"/>
        <v>0</v>
      </c>
      <c r="I30" s="160">
        <f t="shared" si="2"/>
        <v>0</v>
      </c>
      <c r="J30" s="257"/>
      <c r="K30" s="160"/>
      <c r="L30" s="127"/>
    </row>
    <row r="31" spans="1:12" ht="69" customHeight="1" x14ac:dyDescent="0.2">
      <c r="A31" s="115" t="s">
        <v>201</v>
      </c>
      <c r="B31" s="59" t="s">
        <v>120</v>
      </c>
      <c r="C31" s="26" t="s">
        <v>38</v>
      </c>
      <c r="D31" s="159">
        <f>'[1]Прил. 9 СТС'!S29</f>
        <v>0</v>
      </c>
      <c r="E31" s="159">
        <f>'[1]Прил. 9 СТС'!T29</f>
        <v>0</v>
      </c>
      <c r="F31" s="159">
        <f>'[1]Прил. 9 СТС'!U29</f>
        <v>3.2772373405214847</v>
      </c>
      <c r="G31" s="329">
        <f>'[1]Прил. 9 СТС'!V29</f>
        <v>0</v>
      </c>
      <c r="H31" s="160">
        <f t="shared" si="1"/>
        <v>0</v>
      </c>
      <c r="I31" s="160">
        <f t="shared" si="2"/>
        <v>0</v>
      </c>
      <c r="J31" s="257"/>
      <c r="K31" s="160"/>
      <c r="L31" s="127"/>
    </row>
    <row r="32" spans="1:12" ht="77.25" customHeight="1" x14ac:dyDescent="0.2">
      <c r="A32" s="115" t="s">
        <v>202</v>
      </c>
      <c r="B32" s="59" t="s">
        <v>118</v>
      </c>
      <c r="C32" s="26" t="s">
        <v>38</v>
      </c>
      <c r="D32" s="159">
        <f>'[1]Прил. 9 СТС'!S30</f>
        <v>0</v>
      </c>
      <c r="E32" s="159">
        <f>'[1]Прил. 9 СТС'!T30</f>
        <v>0</v>
      </c>
      <c r="F32" s="159">
        <f>'[1]Прил. 9 СТС'!U30</f>
        <v>11.281630456952037</v>
      </c>
      <c r="G32" s="329">
        <f>'[1]Прил. 9 СТС'!V30</f>
        <v>0</v>
      </c>
      <c r="H32" s="160">
        <f t="shared" si="1"/>
        <v>0</v>
      </c>
      <c r="I32" s="160">
        <f t="shared" si="2"/>
        <v>0</v>
      </c>
      <c r="J32" s="257"/>
      <c r="K32" s="160"/>
      <c r="L32" s="127"/>
    </row>
    <row r="33" spans="1:12" ht="49.5" customHeight="1" x14ac:dyDescent="0.2">
      <c r="A33" s="292" t="s">
        <v>203</v>
      </c>
      <c r="B33" s="289" t="s">
        <v>219</v>
      </c>
      <c r="C33" s="290"/>
      <c r="D33" s="290"/>
      <c r="E33" s="290"/>
      <c r="F33" s="290"/>
      <c r="G33" s="290"/>
      <c r="H33" s="330"/>
      <c r="I33" s="330"/>
      <c r="J33" s="330"/>
      <c r="K33" s="331"/>
      <c r="L33" s="129"/>
    </row>
    <row r="34" spans="1:12" ht="42.75" customHeight="1" x14ac:dyDescent="0.2">
      <c r="A34" s="293"/>
      <c r="B34" s="32" t="s">
        <v>59</v>
      </c>
      <c r="C34" s="33"/>
      <c r="D34" s="34"/>
      <c r="E34" s="34"/>
      <c r="F34" s="34"/>
      <c r="G34" s="139"/>
      <c r="H34" s="147"/>
      <c r="I34" s="34"/>
      <c r="J34" s="34"/>
      <c r="K34" s="35"/>
      <c r="L34" s="130"/>
    </row>
    <row r="35" spans="1:12" ht="15.75" x14ac:dyDescent="0.2">
      <c r="A35" s="293"/>
      <c r="B35" s="61" t="s">
        <v>86</v>
      </c>
      <c r="C35" s="36" t="s">
        <v>60</v>
      </c>
      <c r="D35" s="143"/>
      <c r="E35" s="143"/>
      <c r="F35" s="38"/>
      <c r="G35" s="140"/>
      <c r="H35" s="148"/>
      <c r="I35" s="143"/>
      <c r="J35" s="37"/>
      <c r="K35" s="38"/>
      <c r="L35" s="130"/>
    </row>
    <row r="36" spans="1:12" ht="15.75" x14ac:dyDescent="0.2">
      <c r="A36" s="293"/>
      <c r="B36" s="62" t="s">
        <v>87</v>
      </c>
      <c r="C36" s="39" t="s">
        <v>60</v>
      </c>
      <c r="D36" s="144">
        <f>'[1]Прил. 9 СТС'!$S$34</f>
        <v>236303.33333333337</v>
      </c>
      <c r="E36" s="144">
        <f>'[1]Прил. 9 СТС'!$T$34</f>
        <v>264340.00000000006</v>
      </c>
      <c r="F36" s="41"/>
      <c r="G36" s="141"/>
      <c r="H36" s="149"/>
      <c r="I36" s="144"/>
      <c r="J36" s="40"/>
      <c r="K36" s="41"/>
      <c r="L36" s="130"/>
    </row>
    <row r="37" spans="1:12" ht="31.5" x14ac:dyDescent="0.2">
      <c r="A37" s="293"/>
      <c r="B37" s="32" t="s">
        <v>61</v>
      </c>
      <c r="C37" s="33"/>
      <c r="D37" s="34"/>
      <c r="E37" s="34"/>
      <c r="F37" s="35"/>
      <c r="G37" s="139"/>
      <c r="H37" s="147"/>
      <c r="I37" s="34"/>
      <c r="J37" s="34"/>
      <c r="K37" s="35"/>
      <c r="L37" s="130"/>
    </row>
    <row r="38" spans="1:12" ht="15.75" x14ac:dyDescent="0.2">
      <c r="A38" s="293"/>
      <c r="B38" s="61" t="s">
        <v>86</v>
      </c>
      <c r="C38" s="36" t="s">
        <v>60</v>
      </c>
      <c r="D38" s="143"/>
      <c r="E38" s="143"/>
      <c r="F38" s="38"/>
      <c r="G38" s="140"/>
      <c r="H38" s="148"/>
      <c r="I38" s="143"/>
      <c r="J38" s="143"/>
      <c r="K38" s="146"/>
      <c r="L38" s="130"/>
    </row>
    <row r="39" spans="1:12" ht="15.75" x14ac:dyDescent="0.2">
      <c r="A39" s="293"/>
      <c r="B39" s="62" t="s">
        <v>87</v>
      </c>
      <c r="C39" s="39" t="s">
        <v>60</v>
      </c>
      <c r="D39" s="144">
        <f>'[1]Прил. 9 СТС'!$S$59</f>
        <v>236303.33333333337</v>
      </c>
      <c r="E39" s="144">
        <f>'[1]Прил. 9 СТС'!$T$59</f>
        <v>264340.00000000006</v>
      </c>
      <c r="F39" s="41"/>
      <c r="G39" s="141"/>
      <c r="H39" s="149"/>
      <c r="I39" s="144"/>
      <c r="J39" s="31"/>
      <c r="K39" s="142"/>
      <c r="L39" s="130"/>
    </row>
    <row r="40" spans="1:12" ht="46.5" customHeight="1" x14ac:dyDescent="0.2">
      <c r="A40" s="293"/>
      <c r="B40" s="32" t="s">
        <v>62</v>
      </c>
      <c r="C40" s="33"/>
      <c r="D40" s="34"/>
      <c r="E40" s="34"/>
      <c r="F40" s="34"/>
      <c r="G40" s="139"/>
      <c r="H40" s="147"/>
      <c r="I40" s="34"/>
      <c r="J40" s="34"/>
      <c r="K40" s="35"/>
      <c r="L40" s="130"/>
    </row>
    <row r="41" spans="1:12" ht="15.75" x14ac:dyDescent="0.2">
      <c r="A41" s="293"/>
      <c r="B41" s="61" t="s">
        <v>86</v>
      </c>
      <c r="C41" s="36" t="s">
        <v>60</v>
      </c>
      <c r="D41" s="143"/>
      <c r="E41" s="143"/>
      <c r="F41" s="37"/>
      <c r="G41" s="140"/>
      <c r="H41" s="148"/>
      <c r="I41" s="143"/>
      <c r="J41" s="143"/>
      <c r="K41" s="146"/>
      <c r="L41" s="130"/>
    </row>
    <row r="42" spans="1:12" ht="15.75" x14ac:dyDescent="0.2">
      <c r="A42" s="293"/>
      <c r="B42" s="62" t="s">
        <v>87</v>
      </c>
      <c r="C42" s="39" t="s">
        <v>60</v>
      </c>
      <c r="D42" s="144">
        <f>'[1]Прил. 9 СТС'!$S$84</f>
        <v>236303.33333333337</v>
      </c>
      <c r="E42" s="144">
        <f>'[1]Прил. 9 СТС'!$T$84</f>
        <v>264340.00000000006</v>
      </c>
      <c r="F42" s="40"/>
      <c r="G42" s="141"/>
      <c r="H42" s="149"/>
      <c r="I42" s="144"/>
      <c r="J42" s="31"/>
      <c r="K42" s="142"/>
      <c r="L42" s="130"/>
    </row>
    <row r="43" spans="1:12" ht="46.5" customHeight="1" x14ac:dyDescent="0.2">
      <c r="A43" s="293"/>
      <c r="B43" s="32" t="s">
        <v>63</v>
      </c>
      <c r="C43" s="33"/>
      <c r="D43" s="34"/>
      <c r="E43" s="34"/>
      <c r="F43" s="34"/>
      <c r="G43" s="139"/>
      <c r="H43" s="147"/>
      <c r="I43" s="34"/>
      <c r="J43" s="34"/>
      <c r="K43" s="35"/>
      <c r="L43" s="130"/>
    </row>
    <row r="44" spans="1:12" ht="15.75" x14ac:dyDescent="0.2">
      <c r="A44" s="293"/>
      <c r="B44" s="61" t="s">
        <v>86</v>
      </c>
      <c r="C44" s="36" t="s">
        <v>60</v>
      </c>
      <c r="D44" s="143"/>
      <c r="E44" s="143"/>
      <c r="F44" s="37"/>
      <c r="G44" s="140"/>
      <c r="H44" s="148"/>
      <c r="I44" s="143"/>
      <c r="J44" s="143"/>
      <c r="K44" s="146"/>
      <c r="L44" s="130"/>
    </row>
    <row r="45" spans="1:12" ht="15.75" x14ac:dyDescent="0.2">
      <c r="A45" s="293"/>
      <c r="B45" s="62" t="s">
        <v>87</v>
      </c>
      <c r="C45" s="39" t="s">
        <v>60</v>
      </c>
      <c r="D45" s="144">
        <f>'[1]Прил. 9 СТС'!$S$109</f>
        <v>236303.33333333337</v>
      </c>
      <c r="E45" s="144">
        <f>'[1]Прил. 9 СТС'!$T$109</f>
        <v>264340.00000000006</v>
      </c>
      <c r="F45" s="40"/>
      <c r="G45" s="141"/>
      <c r="H45" s="149"/>
      <c r="I45" s="144"/>
      <c r="J45" s="31"/>
      <c r="K45" s="142"/>
      <c r="L45" s="130"/>
    </row>
    <row r="46" spans="1:12" ht="41.25" customHeight="1" x14ac:dyDescent="0.2">
      <c r="A46" s="293"/>
      <c r="B46" s="32" t="s">
        <v>80</v>
      </c>
      <c r="C46" s="33"/>
      <c r="D46" s="34"/>
      <c r="E46" s="34"/>
      <c r="F46" s="34"/>
      <c r="G46" s="139"/>
      <c r="H46" s="147"/>
      <c r="I46" s="34"/>
      <c r="J46" s="34"/>
      <c r="K46" s="35"/>
      <c r="L46" s="130"/>
    </row>
    <row r="47" spans="1:12" ht="15.75" x14ac:dyDescent="0.2">
      <c r="A47" s="293"/>
      <c r="B47" s="61" t="s">
        <v>86</v>
      </c>
      <c r="C47" s="145" t="s">
        <v>60</v>
      </c>
      <c r="D47" s="143"/>
      <c r="E47" s="143"/>
      <c r="F47" s="37"/>
      <c r="G47" s="140"/>
      <c r="H47" s="148"/>
      <c r="I47" s="143"/>
      <c r="J47" s="143"/>
      <c r="K47" s="146"/>
      <c r="L47" s="130"/>
    </row>
    <row r="48" spans="1:12" ht="15.75" x14ac:dyDescent="0.2">
      <c r="A48" s="294"/>
      <c r="B48" s="62" t="s">
        <v>87</v>
      </c>
      <c r="C48" s="70" t="s">
        <v>60</v>
      </c>
      <c r="D48" s="31">
        <f>'[1]Прил. 9 СТС'!$S$134</f>
        <v>236303.33333333337</v>
      </c>
      <c r="E48" s="31">
        <f>'[1]Прил. 9 СТС'!$T$134</f>
        <v>264340.00000000006</v>
      </c>
      <c r="F48" s="31">
        <f>'[1]Прил. 9 СТС'!$U$134</f>
        <v>583697.0625153149</v>
      </c>
      <c r="G48" s="141"/>
      <c r="H48" s="149"/>
      <c r="I48" s="144"/>
      <c r="J48" s="144"/>
      <c r="K48" s="142"/>
      <c r="L48" s="130"/>
    </row>
    <row r="49" spans="1:12" ht="48" customHeight="1" x14ac:dyDescent="0.2">
      <c r="A49" s="292" t="s">
        <v>204</v>
      </c>
      <c r="B49" s="289" t="s">
        <v>220</v>
      </c>
      <c r="C49" s="290"/>
      <c r="D49" s="290"/>
      <c r="E49" s="290"/>
      <c r="F49" s="290"/>
      <c r="G49" s="290"/>
      <c r="H49" s="330"/>
      <c r="I49" s="330"/>
      <c r="J49" s="330"/>
      <c r="K49" s="331"/>
      <c r="L49" s="131"/>
    </row>
    <row r="50" spans="1:12" ht="44.25" customHeight="1" x14ac:dyDescent="0.2">
      <c r="A50" s="293"/>
      <c r="B50" s="32" t="s">
        <v>64</v>
      </c>
      <c r="C50" s="33"/>
      <c r="D50" s="34"/>
      <c r="E50" s="34"/>
      <c r="F50" s="34"/>
      <c r="G50" s="139"/>
      <c r="H50" s="35"/>
      <c r="I50" s="34"/>
      <c r="J50" s="34"/>
      <c r="K50" s="34"/>
      <c r="L50" s="130"/>
    </row>
    <row r="51" spans="1:12" ht="15.75" x14ac:dyDescent="0.2">
      <c r="A51" s="293"/>
      <c r="B51" s="61" t="s">
        <v>86</v>
      </c>
      <c r="C51" s="36" t="s">
        <v>60</v>
      </c>
      <c r="D51" s="37"/>
      <c r="E51" s="37"/>
      <c r="F51" s="332"/>
      <c r="G51" s="333"/>
      <c r="H51" s="334"/>
      <c r="I51" s="335"/>
      <c r="J51" s="335"/>
      <c r="K51" s="335"/>
      <c r="L51" s="132"/>
    </row>
    <row r="52" spans="1:12" ht="15.75" x14ac:dyDescent="0.2">
      <c r="A52" s="293"/>
      <c r="B52" s="62" t="s">
        <v>87</v>
      </c>
      <c r="C52" s="36" t="s">
        <v>60</v>
      </c>
      <c r="D52" s="47"/>
      <c r="E52" s="47"/>
      <c r="F52" s="48"/>
      <c r="G52" s="150"/>
      <c r="H52" s="142"/>
      <c r="I52" s="31"/>
      <c r="J52" s="31"/>
      <c r="K52" s="31"/>
      <c r="L52" s="130"/>
    </row>
    <row r="53" spans="1:12" ht="42.75" customHeight="1" x14ac:dyDescent="0.2">
      <c r="A53" s="293"/>
      <c r="B53" s="32" t="s">
        <v>65</v>
      </c>
      <c r="C53" s="33"/>
      <c r="D53" s="34"/>
      <c r="E53" s="34"/>
      <c r="F53" s="34"/>
      <c r="G53" s="139"/>
      <c r="H53" s="35"/>
      <c r="I53" s="34"/>
      <c r="J53" s="34"/>
      <c r="K53" s="34"/>
      <c r="L53" s="130"/>
    </row>
    <row r="54" spans="1:12" ht="15.75" x14ac:dyDescent="0.2">
      <c r="A54" s="293"/>
      <c r="B54" s="61" t="s">
        <v>97</v>
      </c>
      <c r="C54" s="36" t="s">
        <v>60</v>
      </c>
      <c r="D54" s="37"/>
      <c r="E54" s="37"/>
      <c r="F54" s="38"/>
      <c r="G54" s="140"/>
      <c r="H54" s="146"/>
      <c r="I54" s="143"/>
      <c r="J54" s="143"/>
      <c r="K54" s="143"/>
      <c r="L54" s="130"/>
    </row>
    <row r="55" spans="1:12" ht="15.75" x14ac:dyDescent="0.2">
      <c r="A55" s="293"/>
      <c r="B55" s="62" t="s">
        <v>87</v>
      </c>
      <c r="C55" s="36" t="s">
        <v>60</v>
      </c>
      <c r="D55" s="47"/>
      <c r="E55" s="47">
        <f>'[1]Прил. 9 СТС'!$T$163</f>
        <v>452080</v>
      </c>
      <c r="F55" s="48"/>
      <c r="G55" s="150"/>
      <c r="H55" s="142"/>
      <c r="I55" s="31"/>
      <c r="J55" s="31"/>
      <c r="K55" s="31"/>
      <c r="L55" s="130"/>
    </row>
    <row r="56" spans="1:12" ht="39.75" customHeight="1" x14ac:dyDescent="0.2">
      <c r="A56" s="293"/>
      <c r="B56" s="32" t="s">
        <v>66</v>
      </c>
      <c r="C56" s="33"/>
      <c r="D56" s="34"/>
      <c r="E56" s="34"/>
      <c r="F56" s="34"/>
      <c r="G56" s="139"/>
      <c r="H56" s="35"/>
      <c r="I56" s="34"/>
      <c r="J56" s="34"/>
      <c r="K56" s="34"/>
      <c r="L56" s="130"/>
    </row>
    <row r="57" spans="1:12" ht="15.75" x14ac:dyDescent="0.2">
      <c r="A57" s="293"/>
      <c r="B57" s="61" t="s">
        <v>86</v>
      </c>
      <c r="C57" s="36" t="s">
        <v>60</v>
      </c>
      <c r="D57" s="37"/>
      <c r="E57" s="37"/>
      <c r="F57" s="37"/>
      <c r="G57" s="140"/>
      <c r="H57" s="146"/>
      <c r="I57" s="143"/>
      <c r="J57" s="143"/>
      <c r="K57" s="143"/>
      <c r="L57" s="130"/>
    </row>
    <row r="58" spans="1:12" ht="15.75" x14ac:dyDescent="0.2">
      <c r="A58" s="293"/>
      <c r="B58" s="62" t="s">
        <v>87</v>
      </c>
      <c r="C58" s="36" t="s">
        <v>60</v>
      </c>
      <c r="D58" s="47"/>
      <c r="E58" s="47">
        <f>'[1]Прил. 9 СТС'!$T$166</f>
        <v>452080</v>
      </c>
      <c r="F58" s="47"/>
      <c r="G58" s="150"/>
      <c r="H58" s="142"/>
      <c r="I58" s="31"/>
      <c r="J58" s="31"/>
      <c r="K58" s="31"/>
      <c r="L58" s="130"/>
    </row>
    <row r="59" spans="1:12" ht="39.75" customHeight="1" x14ac:dyDescent="0.2">
      <c r="A59" s="293"/>
      <c r="B59" s="32" t="s">
        <v>67</v>
      </c>
      <c r="C59" s="33"/>
      <c r="D59" s="34"/>
      <c r="E59" s="34"/>
      <c r="F59" s="34"/>
      <c r="G59" s="139"/>
      <c r="H59" s="35"/>
      <c r="I59" s="34"/>
      <c r="J59" s="34"/>
      <c r="K59" s="34"/>
      <c r="L59" s="130"/>
    </row>
    <row r="60" spans="1:12" ht="15.75" x14ac:dyDescent="0.2">
      <c r="A60" s="293"/>
      <c r="B60" s="61" t="s">
        <v>97</v>
      </c>
      <c r="C60" s="36" t="s">
        <v>60</v>
      </c>
      <c r="D60" s="37"/>
      <c r="E60" s="37"/>
      <c r="F60" s="37"/>
      <c r="G60" s="140"/>
      <c r="H60" s="146"/>
      <c r="I60" s="143"/>
      <c r="J60" s="143"/>
      <c r="K60" s="143"/>
      <c r="L60" s="130"/>
    </row>
    <row r="61" spans="1:12" ht="15.75" x14ac:dyDescent="0.2">
      <c r="A61" s="293"/>
      <c r="B61" s="62" t="s">
        <v>87</v>
      </c>
      <c r="C61" s="36" t="s">
        <v>60</v>
      </c>
      <c r="D61" s="47"/>
      <c r="E61" s="47">
        <f>'[1]Прил. 9 СТС'!$T$169</f>
        <v>452080</v>
      </c>
      <c r="F61" s="47"/>
      <c r="G61" s="150"/>
      <c r="H61" s="142"/>
      <c r="I61" s="31"/>
      <c r="J61" s="31"/>
      <c r="K61" s="31"/>
      <c r="L61" s="130"/>
    </row>
    <row r="62" spans="1:12" ht="39" customHeight="1" x14ac:dyDescent="0.2">
      <c r="A62" s="293"/>
      <c r="B62" s="32" t="s">
        <v>68</v>
      </c>
      <c r="C62" s="33"/>
      <c r="D62" s="34"/>
      <c r="E62" s="34"/>
      <c r="F62" s="34"/>
      <c r="G62" s="139"/>
      <c r="H62" s="35"/>
      <c r="I62" s="34"/>
      <c r="J62" s="34"/>
      <c r="K62" s="34"/>
      <c r="L62" s="130"/>
    </row>
    <row r="63" spans="1:12" ht="15.75" x14ac:dyDescent="0.2">
      <c r="A63" s="293"/>
      <c r="B63" s="61" t="s">
        <v>86</v>
      </c>
      <c r="C63" s="36" t="s">
        <v>60</v>
      </c>
      <c r="D63" s="37"/>
      <c r="E63" s="37"/>
      <c r="F63" s="37"/>
      <c r="G63" s="140"/>
      <c r="H63" s="146"/>
      <c r="I63" s="143"/>
      <c r="J63" s="143"/>
      <c r="K63" s="143"/>
      <c r="L63" s="130"/>
    </row>
    <row r="64" spans="1:12" ht="15.75" x14ac:dyDescent="0.2">
      <c r="A64" s="293"/>
      <c r="B64" s="62" t="s">
        <v>87</v>
      </c>
      <c r="C64" s="36" t="s">
        <v>60</v>
      </c>
      <c r="D64" s="47"/>
      <c r="E64" s="47">
        <f>'[1]Прил. 9 СТС'!$T$172</f>
        <v>452080</v>
      </c>
      <c r="F64" s="47"/>
      <c r="G64" s="141"/>
      <c r="H64" s="142"/>
      <c r="I64" s="31"/>
      <c r="J64" s="31"/>
      <c r="K64" s="31"/>
      <c r="L64" s="130"/>
    </row>
    <row r="65" spans="1:12" ht="45" customHeight="1" x14ac:dyDescent="0.2">
      <c r="A65" s="292" t="s">
        <v>205</v>
      </c>
      <c r="B65" s="289" t="s">
        <v>221</v>
      </c>
      <c r="C65" s="290"/>
      <c r="D65" s="290"/>
      <c r="E65" s="290"/>
      <c r="F65" s="290"/>
      <c r="G65" s="290"/>
      <c r="H65" s="330"/>
      <c r="I65" s="330"/>
      <c r="J65" s="330"/>
      <c r="K65" s="331"/>
      <c r="L65" s="131"/>
    </row>
    <row r="66" spans="1:12" ht="40.5" customHeight="1" x14ac:dyDescent="0.2">
      <c r="A66" s="293"/>
      <c r="B66" s="28" t="s">
        <v>96</v>
      </c>
      <c r="C66" s="26" t="s">
        <v>38</v>
      </c>
      <c r="D66" s="49"/>
      <c r="E66" s="49"/>
      <c r="F66" s="49"/>
      <c r="G66" s="151"/>
      <c r="H66" s="138"/>
      <c r="I66" s="49"/>
      <c r="J66" s="49"/>
      <c r="K66" s="49"/>
      <c r="L66" s="130"/>
    </row>
    <row r="67" spans="1:12" ht="40.5" customHeight="1" x14ac:dyDescent="0.2">
      <c r="A67" s="293"/>
      <c r="B67" s="28" t="s">
        <v>81</v>
      </c>
      <c r="C67" s="26" t="s">
        <v>38</v>
      </c>
      <c r="D67" s="49"/>
      <c r="E67" s="49"/>
      <c r="F67" s="49"/>
      <c r="G67" s="151"/>
      <c r="H67" s="138"/>
      <c r="I67" s="49"/>
      <c r="J67" s="49"/>
      <c r="K67" s="49"/>
      <c r="L67" s="130"/>
    </row>
    <row r="68" spans="1:12" ht="38.25" customHeight="1" x14ac:dyDescent="0.2">
      <c r="A68" s="293"/>
      <c r="B68" s="28" t="s">
        <v>69</v>
      </c>
      <c r="C68" s="26" t="s">
        <v>38</v>
      </c>
      <c r="D68" s="49"/>
      <c r="E68" s="49"/>
      <c r="F68" s="49"/>
      <c r="G68" s="151"/>
      <c r="H68" s="138"/>
      <c r="I68" s="49"/>
      <c r="J68" s="49"/>
      <c r="K68" s="49"/>
      <c r="L68" s="130"/>
    </row>
    <row r="69" spans="1:12" ht="55.5" customHeight="1" x14ac:dyDescent="0.2">
      <c r="A69" s="293"/>
      <c r="B69" s="289" t="s">
        <v>222</v>
      </c>
      <c r="C69" s="290"/>
      <c r="D69" s="290"/>
      <c r="E69" s="290"/>
      <c r="F69" s="290"/>
      <c r="G69" s="290"/>
      <c r="H69" s="330"/>
      <c r="I69" s="330"/>
      <c r="J69" s="330"/>
      <c r="K69" s="331"/>
      <c r="L69" s="132"/>
    </row>
    <row r="70" spans="1:12" ht="36" customHeight="1" x14ac:dyDescent="0.2">
      <c r="A70" s="293"/>
      <c r="B70" s="28" t="s">
        <v>70</v>
      </c>
      <c r="C70" s="26" t="s">
        <v>38</v>
      </c>
      <c r="D70" s="249"/>
      <c r="E70" s="249"/>
      <c r="F70" s="46"/>
      <c r="G70" s="135"/>
      <c r="H70" s="133"/>
      <c r="I70" s="46"/>
      <c r="J70" s="46"/>
      <c r="K70" s="46"/>
      <c r="L70" s="130"/>
    </row>
    <row r="71" spans="1:12" ht="36" customHeight="1" x14ac:dyDescent="0.2">
      <c r="A71" s="293"/>
      <c r="B71" s="28" t="s">
        <v>241</v>
      </c>
      <c r="C71" s="26"/>
      <c r="D71" s="275">
        <f>'[1]Прил. 9 СТС'!$S$178</f>
        <v>13325.066525759999</v>
      </c>
      <c r="E71" s="276"/>
      <c r="F71" s="46"/>
      <c r="G71" s="135"/>
      <c r="H71" s="275"/>
      <c r="I71" s="276"/>
      <c r="J71" s="258"/>
      <c r="K71" s="336"/>
    </row>
    <row r="72" spans="1:12" ht="36" customHeight="1" x14ac:dyDescent="0.2">
      <c r="A72" s="293"/>
      <c r="B72" s="28" t="s">
        <v>242</v>
      </c>
      <c r="C72" s="26"/>
      <c r="D72" s="275">
        <f>'[1]Прил. 9 СТС'!$S$181</f>
        <v>13325.066525759999</v>
      </c>
      <c r="E72" s="276"/>
      <c r="F72" s="46"/>
      <c r="G72" s="135"/>
      <c r="H72" s="275"/>
      <c r="I72" s="276"/>
      <c r="J72" s="258"/>
      <c r="K72" s="336"/>
    </row>
    <row r="73" spans="1:12" ht="36" customHeight="1" x14ac:dyDescent="0.2">
      <c r="A73" s="293"/>
      <c r="B73" s="28" t="s">
        <v>243</v>
      </c>
      <c r="C73" s="26"/>
      <c r="D73" s="275">
        <f>'[1]Прил. 9 СТС'!$S$179</f>
        <v>13325.066525759999</v>
      </c>
      <c r="E73" s="276"/>
      <c r="F73" s="46"/>
      <c r="G73" s="135"/>
      <c r="H73" s="275"/>
      <c r="I73" s="276"/>
      <c r="J73" s="258"/>
      <c r="K73" s="336"/>
    </row>
    <row r="74" spans="1:12" ht="36" customHeight="1" x14ac:dyDescent="0.2">
      <c r="A74" s="293"/>
      <c r="B74" s="28" t="s">
        <v>244</v>
      </c>
      <c r="C74" s="26"/>
      <c r="D74" s="275">
        <f>'[1]Прил. 9 СТС'!$S$182</f>
        <v>1745.1515151515159</v>
      </c>
      <c r="E74" s="276"/>
      <c r="F74" s="46"/>
      <c r="G74" s="135"/>
      <c r="H74" s="275"/>
      <c r="I74" s="276"/>
      <c r="J74" s="258"/>
      <c r="K74" s="336"/>
    </row>
    <row r="75" spans="1:12" ht="36" customHeight="1" x14ac:dyDescent="0.2">
      <c r="A75" s="293"/>
      <c r="B75" s="28" t="s">
        <v>245</v>
      </c>
      <c r="C75" s="26"/>
      <c r="D75" s="275">
        <f>'[1]Прил. 9 СТС'!$S$183</f>
        <v>2550</v>
      </c>
      <c r="E75" s="276"/>
      <c r="F75" s="46"/>
      <c r="G75" s="135"/>
      <c r="H75" s="275"/>
      <c r="I75" s="276"/>
      <c r="J75" s="258"/>
      <c r="K75" s="336"/>
    </row>
    <row r="76" spans="1:12" ht="38.25" customHeight="1" x14ac:dyDescent="0.2">
      <c r="A76" s="293"/>
      <c r="B76" s="28" t="s">
        <v>71</v>
      </c>
      <c r="C76" s="26" t="s">
        <v>38</v>
      </c>
      <c r="D76" s="249"/>
      <c r="E76" s="249"/>
      <c r="F76" s="46"/>
      <c r="G76" s="135"/>
      <c r="H76" s="133"/>
      <c r="I76" s="46"/>
      <c r="J76" s="46"/>
      <c r="K76" s="46"/>
      <c r="L76" s="130"/>
    </row>
    <row r="77" spans="1:12" ht="36" customHeight="1" x14ac:dyDescent="0.2">
      <c r="A77" s="293"/>
      <c r="B77" s="28" t="s">
        <v>241</v>
      </c>
      <c r="C77" s="26"/>
      <c r="D77" s="275">
        <f>'[1]Прил. 9 СТС'!S185</f>
        <v>13325.066525759999</v>
      </c>
      <c r="E77" s="276"/>
      <c r="F77" s="46"/>
      <c r="G77" s="135"/>
      <c r="H77" s="275"/>
      <c r="I77" s="276"/>
      <c r="J77" s="258"/>
      <c r="K77" s="336"/>
    </row>
    <row r="78" spans="1:12" ht="36" customHeight="1" x14ac:dyDescent="0.2">
      <c r="A78" s="293"/>
      <c r="B78" s="28" t="s">
        <v>242</v>
      </c>
      <c r="C78" s="26"/>
      <c r="D78" s="275">
        <f>'[1]Прил. 9 СТС'!S187</f>
        <v>13325.066525759999</v>
      </c>
      <c r="E78" s="276"/>
      <c r="F78" s="46"/>
      <c r="G78" s="135"/>
      <c r="H78" s="275"/>
      <c r="I78" s="276"/>
      <c r="J78" s="258"/>
      <c r="K78" s="336"/>
    </row>
    <row r="79" spans="1:12" ht="36" customHeight="1" x14ac:dyDescent="0.2">
      <c r="A79" s="293"/>
      <c r="B79" s="28" t="s">
        <v>243</v>
      </c>
      <c r="C79" s="26"/>
      <c r="D79" s="275">
        <f>'[1]Прил. 9 СТС'!S186</f>
        <v>13325.066525759999</v>
      </c>
      <c r="E79" s="276"/>
      <c r="F79" s="46"/>
      <c r="G79" s="135"/>
      <c r="H79" s="275"/>
      <c r="I79" s="276"/>
      <c r="J79" s="258"/>
      <c r="K79" s="336"/>
    </row>
    <row r="80" spans="1:12" ht="36" customHeight="1" x14ac:dyDescent="0.2">
      <c r="A80" s="293"/>
      <c r="B80" s="28" t="s">
        <v>244</v>
      </c>
      <c r="C80" s="26"/>
      <c r="D80" s="275">
        <f>'[1]Прил. 9 СТС'!S188</f>
        <v>1745.1515151515159</v>
      </c>
      <c r="E80" s="276"/>
      <c r="F80" s="46"/>
      <c r="G80" s="135"/>
      <c r="H80" s="275"/>
      <c r="I80" s="276"/>
      <c r="J80" s="258"/>
      <c r="K80" s="336"/>
    </row>
    <row r="81" spans="1:12" ht="36" customHeight="1" x14ac:dyDescent="0.2">
      <c r="A81" s="293"/>
      <c r="B81" s="28" t="s">
        <v>245</v>
      </c>
      <c r="C81" s="26"/>
      <c r="D81" s="275">
        <f>'[1]Прил. 9 СТС'!S189</f>
        <v>2550</v>
      </c>
      <c r="E81" s="276"/>
      <c r="F81" s="46"/>
      <c r="G81" s="135"/>
      <c r="H81" s="275"/>
      <c r="I81" s="276"/>
      <c r="J81" s="258"/>
      <c r="K81" s="336"/>
    </row>
    <row r="82" spans="1:12" ht="33.75" customHeight="1" x14ac:dyDescent="0.2">
      <c r="A82" s="293"/>
      <c r="B82" s="28" t="s">
        <v>72</v>
      </c>
      <c r="C82" s="26" t="s">
        <v>38</v>
      </c>
      <c r="D82" s="249"/>
      <c r="E82" s="249"/>
      <c r="F82" s="250"/>
      <c r="G82" s="251"/>
      <c r="H82" s="133"/>
      <c r="I82" s="46"/>
      <c r="J82" s="46"/>
      <c r="K82" s="46"/>
      <c r="L82" s="130"/>
    </row>
    <row r="83" spans="1:12" ht="36" customHeight="1" x14ac:dyDescent="0.2">
      <c r="A83" s="293"/>
      <c r="B83" s="28" t="s">
        <v>241</v>
      </c>
      <c r="C83" s="26"/>
      <c r="D83" s="275">
        <f>'[1]Прил. 9 СТС'!S191</f>
        <v>13325.066525759999</v>
      </c>
      <c r="E83" s="276"/>
      <c r="F83" s="46"/>
      <c r="G83" s="135"/>
      <c r="H83" s="275"/>
      <c r="I83" s="276"/>
      <c r="J83" s="258"/>
      <c r="K83" s="336"/>
    </row>
    <row r="84" spans="1:12" ht="36" customHeight="1" x14ac:dyDescent="0.2">
      <c r="A84" s="293"/>
      <c r="B84" s="28" t="s">
        <v>242</v>
      </c>
      <c r="C84" s="26"/>
      <c r="D84" s="275">
        <f>'[1]Прил. 9 СТС'!S193</f>
        <v>13325.066525759999</v>
      </c>
      <c r="E84" s="276"/>
      <c r="F84" s="46"/>
      <c r="G84" s="135"/>
      <c r="H84" s="275"/>
      <c r="I84" s="276"/>
      <c r="J84" s="258"/>
      <c r="K84" s="336"/>
    </row>
    <row r="85" spans="1:12" ht="36" customHeight="1" x14ac:dyDescent="0.2">
      <c r="A85" s="293"/>
      <c r="B85" s="28" t="s">
        <v>243</v>
      </c>
      <c r="C85" s="26"/>
      <c r="D85" s="275">
        <f>'[1]Прил. 9 СТС'!S192</f>
        <v>13325.066525759999</v>
      </c>
      <c r="E85" s="276"/>
      <c r="F85" s="46"/>
      <c r="G85" s="135"/>
      <c r="H85" s="275"/>
      <c r="I85" s="276"/>
      <c r="J85" s="258"/>
      <c r="K85" s="336"/>
    </row>
    <row r="86" spans="1:12" ht="36" customHeight="1" x14ac:dyDescent="0.2">
      <c r="A86" s="293"/>
      <c r="B86" s="28" t="s">
        <v>244</v>
      </c>
      <c r="C86" s="26"/>
      <c r="D86" s="275">
        <f>'[1]Прил. 9 СТС'!S194</f>
        <v>1745.1515151515159</v>
      </c>
      <c r="E86" s="276"/>
      <c r="F86" s="46"/>
      <c r="G86" s="135"/>
      <c r="H86" s="275"/>
      <c r="I86" s="276"/>
      <c r="J86" s="258"/>
      <c r="K86" s="336"/>
    </row>
    <row r="87" spans="1:12" ht="36" customHeight="1" x14ac:dyDescent="0.2">
      <c r="A87" s="293"/>
      <c r="B87" s="28" t="s">
        <v>245</v>
      </c>
      <c r="C87" s="26"/>
      <c r="D87" s="275">
        <f>'[1]Прил. 9 СТС'!S195</f>
        <v>2550</v>
      </c>
      <c r="E87" s="276"/>
      <c r="F87" s="46"/>
      <c r="G87" s="135"/>
      <c r="H87" s="275"/>
      <c r="I87" s="276"/>
      <c r="J87" s="258"/>
      <c r="K87" s="336"/>
    </row>
    <row r="88" spans="1:12" ht="32.25" customHeight="1" x14ac:dyDescent="0.2">
      <c r="A88" s="293"/>
      <c r="B88" s="28" t="s">
        <v>73</v>
      </c>
      <c r="C88" s="26" t="s">
        <v>38</v>
      </c>
      <c r="D88" s="250"/>
      <c r="E88" s="252"/>
      <c r="F88" s="46"/>
      <c r="G88" s="135"/>
      <c r="H88" s="133"/>
      <c r="I88" s="46"/>
      <c r="J88" s="46"/>
      <c r="K88" s="46"/>
      <c r="L88" s="130"/>
    </row>
    <row r="89" spans="1:12" ht="32.25" customHeight="1" x14ac:dyDescent="0.2">
      <c r="A89" s="293"/>
      <c r="B89" s="28" t="s">
        <v>74</v>
      </c>
      <c r="C89" s="26" t="s">
        <v>38</v>
      </c>
      <c r="D89" s="250"/>
      <c r="E89" s="252"/>
      <c r="F89" s="46"/>
      <c r="G89" s="135"/>
      <c r="H89" s="133"/>
      <c r="I89" s="46"/>
      <c r="J89" s="46"/>
      <c r="K89" s="46"/>
      <c r="L89" s="130"/>
    </row>
    <row r="90" spans="1:12" ht="32.25" customHeight="1" x14ac:dyDescent="0.2">
      <c r="A90" s="293"/>
      <c r="B90" s="28" t="s">
        <v>75</v>
      </c>
      <c r="C90" s="26" t="s">
        <v>38</v>
      </c>
      <c r="D90" s="250"/>
      <c r="E90" s="252"/>
      <c r="F90" s="46"/>
      <c r="G90" s="135"/>
      <c r="H90" s="133"/>
      <c r="I90" s="46"/>
      <c r="J90" s="46"/>
      <c r="K90" s="46"/>
      <c r="L90" s="130"/>
    </row>
    <row r="91" spans="1:12" ht="32.25" customHeight="1" x14ac:dyDescent="0.2">
      <c r="A91" s="294"/>
      <c r="B91" s="28" t="s">
        <v>76</v>
      </c>
      <c r="C91" s="26" t="s">
        <v>38</v>
      </c>
      <c r="D91" s="250"/>
      <c r="E91" s="252"/>
      <c r="F91" s="46"/>
      <c r="G91" s="135"/>
      <c r="H91" s="133"/>
      <c r="I91" s="46"/>
      <c r="J91" s="46"/>
      <c r="K91" s="46"/>
      <c r="L91" s="130"/>
    </row>
    <row r="92" spans="1:12" ht="15" customHeight="1" x14ac:dyDescent="0.2">
      <c r="A92" s="304"/>
      <c r="B92" s="304"/>
      <c r="C92" s="304"/>
      <c r="D92" s="304"/>
      <c r="E92" s="304"/>
      <c r="F92" s="304"/>
      <c r="G92" s="304"/>
    </row>
    <row r="93" spans="1:12" x14ac:dyDescent="0.2">
      <c r="A93" s="305"/>
      <c r="B93" s="305"/>
      <c r="C93" s="305"/>
      <c r="D93" s="305"/>
      <c r="E93" s="305"/>
      <c r="F93" s="305"/>
      <c r="G93" s="305"/>
    </row>
    <row r="94" spans="1:12" ht="37.5" customHeight="1" x14ac:dyDescent="0.25">
      <c r="A94" s="116" t="s">
        <v>166</v>
      </c>
      <c r="B94" s="296" t="s">
        <v>206</v>
      </c>
      <c r="C94" s="296"/>
      <c r="D94" s="296"/>
      <c r="E94" s="296"/>
      <c r="F94" s="296"/>
      <c r="G94" s="296"/>
      <c r="H94" s="296"/>
      <c r="I94" s="300"/>
      <c r="J94" s="300"/>
      <c r="K94" s="300"/>
      <c r="L94" s="121"/>
    </row>
    <row r="95" spans="1:12" ht="52.5" customHeight="1" x14ac:dyDescent="0.25">
      <c r="A95" s="116" t="s">
        <v>167</v>
      </c>
      <c r="B95" s="296" t="s">
        <v>209</v>
      </c>
      <c r="C95" s="296"/>
      <c r="D95" s="296"/>
      <c r="E95" s="296"/>
      <c r="F95" s="296"/>
      <c r="G95" s="296"/>
      <c r="H95" s="296"/>
      <c r="I95" s="297"/>
      <c r="J95" s="297"/>
      <c r="K95" s="297"/>
      <c r="L95" s="25"/>
    </row>
    <row r="96" spans="1:12" ht="34.5" customHeight="1" x14ac:dyDescent="0.25">
      <c r="A96" s="116" t="s">
        <v>212</v>
      </c>
      <c r="B96" s="296" t="s">
        <v>218</v>
      </c>
      <c r="C96" s="296"/>
      <c r="D96" s="296"/>
      <c r="E96" s="296"/>
      <c r="F96" s="296"/>
      <c r="G96" s="296"/>
      <c r="H96" s="296"/>
      <c r="I96" s="297"/>
      <c r="J96" s="297"/>
      <c r="K96" s="297"/>
      <c r="L96" s="25"/>
    </row>
    <row r="97" spans="1:12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98" spans="1:12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spans="1:12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</row>
    <row r="100" spans="1:12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</row>
    <row r="101" spans="1:12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</row>
    <row r="102" spans="1:12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</row>
    <row r="103" spans="1:12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</sheetData>
  <mergeCells count="65">
    <mergeCell ref="D86:E86"/>
    <mergeCell ref="H86:I86"/>
    <mergeCell ref="D87:E87"/>
    <mergeCell ref="H87:I87"/>
    <mergeCell ref="D83:E83"/>
    <mergeCell ref="H83:I83"/>
    <mergeCell ref="D84:E84"/>
    <mergeCell ref="H84:I84"/>
    <mergeCell ref="D85:E85"/>
    <mergeCell ref="H85:I85"/>
    <mergeCell ref="B96:K96"/>
    <mergeCell ref="B69:K69"/>
    <mergeCell ref="A5:K5"/>
    <mergeCell ref="A6:K6"/>
    <mergeCell ref="A7:K7"/>
    <mergeCell ref="B94:K94"/>
    <mergeCell ref="A65:A91"/>
    <mergeCell ref="B95:K95"/>
    <mergeCell ref="B12:K12"/>
    <mergeCell ref="H13:I13"/>
    <mergeCell ref="H14:I14"/>
    <mergeCell ref="H15:I15"/>
    <mergeCell ref="H17:I17"/>
    <mergeCell ref="B33:K33"/>
    <mergeCell ref="A92:G93"/>
    <mergeCell ref="A49:A64"/>
    <mergeCell ref="B65:K65"/>
    <mergeCell ref="D3:G3"/>
    <mergeCell ref="A33:A48"/>
    <mergeCell ref="D10:G10"/>
    <mergeCell ref="C9:C11"/>
    <mergeCell ref="B49:K49"/>
    <mergeCell ref="E1:H1"/>
    <mergeCell ref="D14:E14"/>
    <mergeCell ref="D15:E15"/>
    <mergeCell ref="D17:E17"/>
    <mergeCell ref="F2:H2"/>
    <mergeCell ref="O12:P12"/>
    <mergeCell ref="M13:N13"/>
    <mergeCell ref="M12:N12"/>
    <mergeCell ref="A9:A11"/>
    <mergeCell ref="B9:B11"/>
    <mergeCell ref="H10:K10"/>
    <mergeCell ref="D9:K9"/>
    <mergeCell ref="D13:E13"/>
    <mergeCell ref="D71:E71"/>
    <mergeCell ref="H71:I71"/>
    <mergeCell ref="D72:E72"/>
    <mergeCell ref="H72:I72"/>
    <mergeCell ref="D73:E73"/>
    <mergeCell ref="H73:I73"/>
    <mergeCell ref="D74:E74"/>
    <mergeCell ref="H74:I74"/>
    <mergeCell ref="D75:E75"/>
    <mergeCell ref="H75:I75"/>
    <mergeCell ref="D77:E77"/>
    <mergeCell ref="H77:I77"/>
    <mergeCell ref="D81:E81"/>
    <mergeCell ref="H81:I81"/>
    <mergeCell ref="D78:E78"/>
    <mergeCell ref="H78:I78"/>
    <mergeCell ref="D79:E79"/>
    <mergeCell ref="H79:I79"/>
    <mergeCell ref="D80:E80"/>
    <mergeCell ref="H80:I80"/>
  </mergeCells>
  <printOptions horizontalCentered="1"/>
  <pageMargins left="0" right="0" top="0.31496062992125984" bottom="0.31496062992125984" header="0.31496062992125984" footer="0.31496062992125984"/>
  <pageSetup paperSize="9" scale="53" fitToHeight="2" orientation="portrait" r:id="rId1"/>
  <rowBreaks count="1" manualBreakCount="1">
    <brk id="32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AG192"/>
  <sheetViews>
    <sheetView showGridLines="0" view="pageBreakPreview" zoomScale="55" zoomScaleNormal="70" zoomScaleSheetLayoutView="55" workbookViewId="0">
      <selection activeCell="A5" sqref="A5:F5"/>
    </sheetView>
  </sheetViews>
  <sheetFormatPr defaultRowHeight="12.75" outlineLevelCol="1" x14ac:dyDescent="0.2"/>
  <cols>
    <col min="1" max="1" width="6.5703125" style="7" customWidth="1"/>
    <col min="2" max="2" width="62.5703125" style="7" customWidth="1"/>
    <col min="3" max="3" width="18" style="7" customWidth="1"/>
    <col min="4" max="4" width="34.85546875" style="7" customWidth="1"/>
    <col min="5" max="5" width="40" style="7" customWidth="1"/>
    <col min="6" max="6" width="35.28515625" style="7" customWidth="1"/>
    <col min="7" max="8" width="0" style="7" hidden="1" customWidth="1" outlineLevel="1"/>
    <col min="9" max="10" width="15.42578125" style="245" hidden="1" customWidth="1" outlineLevel="1"/>
    <col min="11" max="11" width="13.85546875" style="245" hidden="1" customWidth="1" outlineLevel="1"/>
    <col min="12" max="12" width="20.140625" style="245" hidden="1" customWidth="1" outlineLevel="1"/>
    <col min="13" max="13" width="0" style="245" hidden="1" customWidth="1" outlineLevel="1"/>
    <col min="14" max="14" width="9.140625" style="245" collapsed="1"/>
    <col min="15" max="33" width="9.140625" style="245"/>
    <col min="34" max="16384" width="9.140625" style="7"/>
  </cols>
  <sheetData>
    <row r="1" spans="1:33" s="1" customFormat="1" ht="15.75" x14ac:dyDescent="0.25">
      <c r="A1" s="11"/>
      <c r="B1" s="3"/>
      <c r="D1" s="288" t="s">
        <v>227</v>
      </c>
      <c r="E1" s="288"/>
      <c r="F1" s="288"/>
      <c r="G1" s="55"/>
      <c r="I1" s="243"/>
      <c r="J1" s="243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</row>
    <row r="2" spans="1:33" s="1" customFormat="1" ht="28.5" customHeight="1" x14ac:dyDescent="0.25">
      <c r="A2" s="11"/>
      <c r="B2" s="3"/>
      <c r="E2" s="55"/>
      <c r="F2" s="288" t="s">
        <v>98</v>
      </c>
      <c r="G2" s="55"/>
      <c r="I2" s="243"/>
      <c r="J2" s="243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</row>
    <row r="3" spans="1:33" s="1" customFormat="1" ht="15.75" customHeight="1" x14ac:dyDescent="0.25">
      <c r="A3" s="11"/>
      <c r="B3" s="3"/>
      <c r="D3" s="74"/>
      <c r="E3" s="74"/>
      <c r="F3" s="288"/>
      <c r="I3" s="243"/>
      <c r="J3" s="243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</row>
    <row r="4" spans="1:33" s="6" customFormat="1" ht="18" x14ac:dyDescent="0.25">
      <c r="C4" s="7"/>
      <c r="I4" s="244"/>
      <c r="J4" s="244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</row>
    <row r="5" spans="1:33" ht="47.25" customHeight="1" x14ac:dyDescent="0.3">
      <c r="A5" s="308" t="s">
        <v>121</v>
      </c>
      <c r="B5" s="308"/>
      <c r="C5" s="308"/>
      <c r="D5" s="308"/>
      <c r="E5" s="308"/>
      <c r="F5" s="308"/>
    </row>
    <row r="6" spans="1:33" ht="35.25" customHeight="1" x14ac:dyDescent="0.3">
      <c r="A6" s="308" t="s">
        <v>122</v>
      </c>
      <c r="B6" s="308"/>
      <c r="C6" s="308"/>
      <c r="D6" s="308"/>
      <c r="E6" s="308"/>
      <c r="F6" s="308"/>
    </row>
    <row r="7" spans="1:33" ht="20.25" x14ac:dyDescent="0.3">
      <c r="A7" s="10"/>
      <c r="B7" s="10"/>
      <c r="C7" s="10"/>
      <c r="D7" s="10"/>
      <c r="F7" s="45"/>
    </row>
    <row r="8" spans="1:33" ht="84" customHeight="1" x14ac:dyDescent="0.3">
      <c r="A8" s="75" t="s">
        <v>39</v>
      </c>
      <c r="B8" s="76" t="s">
        <v>40</v>
      </c>
      <c r="C8" s="75" t="s">
        <v>41</v>
      </c>
      <c r="D8" s="77" t="s">
        <v>185</v>
      </c>
      <c r="E8" s="78" t="s">
        <v>186</v>
      </c>
      <c r="F8" s="79" t="s">
        <v>187</v>
      </c>
    </row>
    <row r="9" spans="1:33" ht="41.25" customHeight="1" x14ac:dyDescent="0.2">
      <c r="A9" s="80"/>
      <c r="B9" s="81" t="s">
        <v>17</v>
      </c>
      <c r="C9" s="80"/>
      <c r="D9" s="82">
        <f>D10+D25+D36+D148+D163+D174</f>
        <v>67839891.723091602</v>
      </c>
      <c r="E9" s="83" t="s">
        <v>43</v>
      </c>
      <c r="F9" s="83" t="s">
        <v>43</v>
      </c>
      <c r="I9" s="245">
        <f>'[1]Прил. 6 (кальк)'!$D$10</f>
        <v>67839891.723091602</v>
      </c>
      <c r="J9" s="245">
        <f>I9-D9</f>
        <v>0</v>
      </c>
      <c r="K9" s="245" t="b">
        <f>D9=L9</f>
        <v>1</v>
      </c>
      <c r="L9" s="82">
        <f>L10+L25+L36+L148+L163+L174</f>
        <v>67839891.723091602</v>
      </c>
    </row>
    <row r="10" spans="1:33" ht="38.25" customHeight="1" x14ac:dyDescent="0.2">
      <c r="A10" s="84">
        <v>1</v>
      </c>
      <c r="B10" s="81" t="s">
        <v>188</v>
      </c>
      <c r="C10" s="81"/>
      <c r="D10" s="82">
        <f>SUM(D11,D23)</f>
        <v>12849643.325345859</v>
      </c>
      <c r="E10" s="82">
        <f>SUM(E11,E23)</f>
        <v>11515.07</v>
      </c>
      <c r="F10" s="85">
        <f>IF(ISERROR(D10/E10),"",D10/E10)</f>
        <v>1115.8979776367717</v>
      </c>
      <c r="I10" s="245">
        <f>'[1]Прил. 6 (кальк)'!$D$12</f>
        <v>12849643.325345859</v>
      </c>
      <c r="L10" s="245">
        <f>'[1]Прил. 6 (кальк)'!$D$12</f>
        <v>12849643.325345859</v>
      </c>
    </row>
    <row r="11" spans="1:33" ht="18.75" x14ac:dyDescent="0.2">
      <c r="A11" s="84"/>
      <c r="B11" s="81" t="s">
        <v>115</v>
      </c>
      <c r="C11" s="81"/>
      <c r="D11" s="82">
        <f>SUM(D12:D22)</f>
        <v>12849643.325345859</v>
      </c>
      <c r="E11" s="82">
        <f>SUM(E12:E22)</f>
        <v>11515.07</v>
      </c>
      <c r="F11" s="85">
        <f>IF(ISERROR(D11/E11),"",D11/E11)</f>
        <v>1115.8979776367717</v>
      </c>
    </row>
    <row r="12" spans="1:33" ht="37.5" x14ac:dyDescent="0.2">
      <c r="A12" s="80"/>
      <c r="B12" s="86" t="s">
        <v>207</v>
      </c>
      <c r="C12" s="87"/>
      <c r="D12" s="88">
        <f>'[1]Прил. 6 (кальк)'!D13</f>
        <v>10233471.938333597</v>
      </c>
      <c r="E12" s="88">
        <f>'[1]Прил. 6 (кальк)'!E13</f>
        <v>2610.62</v>
      </c>
      <c r="F12" s="83">
        <f t="shared" ref="F12" si="0">IF(ISERROR(D12/E12),"",D12/E12)</f>
        <v>3919.9393011367406</v>
      </c>
    </row>
    <row r="13" spans="1:33" ht="37.5" x14ac:dyDescent="0.2">
      <c r="A13" s="80"/>
      <c r="B13" s="86" t="s">
        <v>207</v>
      </c>
      <c r="C13" s="87"/>
      <c r="D13" s="88">
        <f>'[1]Прил. 6 (кальк)'!D14</f>
        <v>726100.00449373759</v>
      </c>
      <c r="E13" s="88">
        <f>'[1]Прил. 6 (кальк)'!E14</f>
        <v>157</v>
      </c>
      <c r="F13" s="83">
        <f t="shared" ref="F13:F85" si="1">IF(ISERROR(D13/E13),"",D13/E13)</f>
        <v>4624.8407929537425</v>
      </c>
    </row>
    <row r="14" spans="1:33" ht="34.5" customHeight="1" x14ac:dyDescent="0.2">
      <c r="A14" s="80"/>
      <c r="B14" s="89" t="s">
        <v>50</v>
      </c>
      <c r="C14" s="87">
        <v>0.4</v>
      </c>
      <c r="D14" s="88">
        <f>'[1]Прил. 6 (кальк)'!D15</f>
        <v>953006.25589802908</v>
      </c>
      <c r="E14" s="88">
        <f>'[1]Прил. 6 (кальк)'!E15</f>
        <v>1525.45</v>
      </c>
      <c r="F14" s="83">
        <f t="shared" si="1"/>
        <v>624.73778616016853</v>
      </c>
    </row>
    <row r="15" spans="1:33" ht="34.5" customHeight="1" x14ac:dyDescent="0.2">
      <c r="A15" s="80"/>
      <c r="B15" s="89" t="s">
        <v>51</v>
      </c>
      <c r="C15" s="90" t="s">
        <v>15</v>
      </c>
      <c r="D15" s="88">
        <f>'[1]Прил. 6 (кальк)'!D16</f>
        <v>640643.55983784143</v>
      </c>
      <c r="E15" s="88">
        <f>'[1]Прил. 6 (кальк)'!E16</f>
        <v>1322</v>
      </c>
      <c r="F15" s="83">
        <f t="shared" si="1"/>
        <v>484.60178505131728</v>
      </c>
    </row>
    <row r="16" spans="1:33" ht="36.75" customHeight="1" x14ac:dyDescent="0.2">
      <c r="A16" s="80"/>
      <c r="B16" s="89" t="s">
        <v>52</v>
      </c>
      <c r="C16" s="87">
        <v>0.4</v>
      </c>
      <c r="D16" s="88">
        <f>'[1]Прил. 6 (кальк)'!D17</f>
        <v>117030.83095730079</v>
      </c>
      <c r="E16" s="88">
        <f>'[1]Прил. 6 (кальк)'!E17</f>
        <v>800</v>
      </c>
      <c r="F16" s="83">
        <f t="shared" si="1"/>
        <v>146.28853869662598</v>
      </c>
    </row>
    <row r="17" spans="1:12" ht="32.25" customHeight="1" x14ac:dyDescent="0.2">
      <c r="A17" s="80"/>
      <c r="B17" s="89" t="s">
        <v>53</v>
      </c>
      <c r="C17" s="90" t="s">
        <v>15</v>
      </c>
      <c r="D17" s="88">
        <f>'[1]Прил. 6 (кальк)'!D18</f>
        <v>117030.83095730079</v>
      </c>
      <c r="E17" s="88">
        <f>'[1]Прил. 6 (кальк)'!E18</f>
        <v>1800</v>
      </c>
      <c r="F17" s="83">
        <f t="shared" si="1"/>
        <v>65.01712830961155</v>
      </c>
    </row>
    <row r="18" spans="1:12" ht="33" customHeight="1" x14ac:dyDescent="0.2">
      <c r="A18" s="91"/>
      <c r="B18" s="86" t="s">
        <v>46</v>
      </c>
      <c r="C18" s="90" t="s">
        <v>15</v>
      </c>
      <c r="D18" s="88">
        <f>'[1]Прил. 6 (кальк)'!D19</f>
        <v>0</v>
      </c>
      <c r="E18" s="88">
        <f>'[1]Прил. 6 (кальк)'!E19</f>
        <v>0</v>
      </c>
      <c r="F18" s="83" t="str">
        <f t="shared" si="1"/>
        <v/>
      </c>
    </row>
    <row r="19" spans="1:12" ht="33" customHeight="1" x14ac:dyDescent="0.2">
      <c r="A19" s="91"/>
      <c r="B19" s="89" t="s">
        <v>53</v>
      </c>
      <c r="C19" s="90" t="s">
        <v>84</v>
      </c>
      <c r="D19" s="88">
        <f>'[1]Прил. 6 (кальк)'!D20</f>
        <v>0</v>
      </c>
      <c r="E19" s="88">
        <f>'[1]Прил. 6 (кальк)'!E20</f>
        <v>0</v>
      </c>
      <c r="F19" s="83" t="str">
        <f t="shared" si="1"/>
        <v/>
      </c>
    </row>
    <row r="20" spans="1:12" ht="33" customHeight="1" x14ac:dyDescent="0.2">
      <c r="A20" s="91"/>
      <c r="B20" s="86" t="s">
        <v>46</v>
      </c>
      <c r="C20" s="90" t="s">
        <v>84</v>
      </c>
      <c r="D20" s="88">
        <f>'[1]Прил. 6 (кальк)'!D21</f>
        <v>62359.90486805109</v>
      </c>
      <c r="E20" s="88">
        <f>'[1]Прил. 6 (кальк)'!E21</f>
        <v>3300</v>
      </c>
      <c r="F20" s="83">
        <f t="shared" si="1"/>
        <v>18.896940869106391</v>
      </c>
    </row>
    <row r="21" spans="1:12" ht="33" customHeight="1" x14ac:dyDescent="0.2">
      <c r="A21" s="91"/>
      <c r="B21" s="89" t="s">
        <v>53</v>
      </c>
      <c r="C21" s="90" t="s">
        <v>85</v>
      </c>
      <c r="D21" s="88">
        <f>'[1]Прил. 6 (кальк)'!D22</f>
        <v>0</v>
      </c>
      <c r="E21" s="88">
        <f>'[1]Прил. 6 (кальк)'!E22</f>
        <v>0</v>
      </c>
      <c r="F21" s="83" t="str">
        <f t="shared" si="1"/>
        <v/>
      </c>
    </row>
    <row r="22" spans="1:12" ht="33" customHeight="1" x14ac:dyDescent="0.2">
      <c r="A22" s="91"/>
      <c r="B22" s="86" t="s">
        <v>46</v>
      </c>
      <c r="C22" s="90" t="s">
        <v>85</v>
      </c>
      <c r="D22" s="88">
        <f>'[1]Прил. 6 (кальк)'!D23</f>
        <v>0</v>
      </c>
      <c r="E22" s="88">
        <f>'[1]Прил. 6 (кальк)'!E23</f>
        <v>0</v>
      </c>
      <c r="F22" s="83" t="str">
        <f t="shared" si="1"/>
        <v/>
      </c>
    </row>
    <row r="23" spans="1:12" ht="18.75" x14ac:dyDescent="0.2">
      <c r="A23" s="84"/>
      <c r="B23" s="81" t="s">
        <v>210</v>
      </c>
      <c r="C23" s="81"/>
      <c r="D23" s="82">
        <f>SUM(D24)</f>
        <v>0</v>
      </c>
      <c r="E23" s="82">
        <f>SUM(E24)</f>
        <v>0</v>
      </c>
      <c r="F23" s="85" t="str">
        <f t="shared" si="1"/>
        <v/>
      </c>
    </row>
    <row r="24" spans="1:12" ht="18.75" x14ac:dyDescent="0.2">
      <c r="A24" s="84"/>
      <c r="B24" s="81" t="s">
        <v>211</v>
      </c>
      <c r="C24" s="81"/>
      <c r="D24" s="82"/>
      <c r="E24" s="82"/>
      <c r="F24" s="85" t="str">
        <f t="shared" si="1"/>
        <v/>
      </c>
    </row>
    <row r="25" spans="1:12" ht="56.25" x14ac:dyDescent="0.2">
      <c r="A25" s="92" t="s">
        <v>42</v>
      </c>
      <c r="B25" s="81" t="s">
        <v>49</v>
      </c>
      <c r="C25" s="81"/>
      <c r="D25" s="82">
        <f>SUM(D26:D35)</f>
        <v>0</v>
      </c>
      <c r="E25" s="88">
        <f>E26+E27+E28+E29+E30+E31+E33+E35</f>
        <v>8904.4500000000007</v>
      </c>
      <c r="F25" s="83">
        <f t="shared" si="1"/>
        <v>0</v>
      </c>
      <c r="L25" s="245">
        <f>'[1]Прил. 6 (кальк) без льгот'!$D$22</f>
        <v>0</v>
      </c>
    </row>
    <row r="26" spans="1:12" ht="45.75" customHeight="1" x14ac:dyDescent="0.2">
      <c r="A26" s="91"/>
      <c r="B26" s="86" t="s">
        <v>208</v>
      </c>
      <c r="C26" s="86"/>
      <c r="D26" s="88">
        <f>'[1]Прил. 6 (кальк)'!D25</f>
        <v>0</v>
      </c>
      <c r="E26" s="88">
        <f>'[1]Прил. 6 (кальк)'!E25</f>
        <v>157</v>
      </c>
      <c r="F26" s="83">
        <f t="shared" si="1"/>
        <v>0</v>
      </c>
    </row>
    <row r="27" spans="1:12" ht="33" customHeight="1" x14ac:dyDescent="0.2">
      <c r="A27" s="91"/>
      <c r="B27" s="89" t="s">
        <v>50</v>
      </c>
      <c r="C27" s="87">
        <v>0.4</v>
      </c>
      <c r="D27" s="88">
        <f>'[1]Прил. 6 (кальк)'!D26</f>
        <v>0</v>
      </c>
      <c r="E27" s="88">
        <f>'[1]Прил. 6 (кальк)'!E26</f>
        <v>1525.45</v>
      </c>
      <c r="F27" s="83">
        <f t="shared" si="1"/>
        <v>0</v>
      </c>
    </row>
    <row r="28" spans="1:12" ht="36" customHeight="1" x14ac:dyDescent="0.2">
      <c r="A28" s="91"/>
      <c r="B28" s="89" t="s">
        <v>51</v>
      </c>
      <c r="C28" s="90" t="s">
        <v>15</v>
      </c>
      <c r="D28" s="88">
        <f>'[1]Прил. 6 (кальк)'!D27</f>
        <v>0</v>
      </c>
      <c r="E28" s="88">
        <f>'[1]Прил. 6 (кальк)'!E27</f>
        <v>1322</v>
      </c>
      <c r="F28" s="83">
        <f t="shared" si="1"/>
        <v>0</v>
      </c>
    </row>
    <row r="29" spans="1:12" ht="39" customHeight="1" x14ac:dyDescent="0.2">
      <c r="A29" s="91"/>
      <c r="B29" s="89" t="s">
        <v>52</v>
      </c>
      <c r="C29" s="87">
        <v>0.4</v>
      </c>
      <c r="D29" s="88">
        <f>'[1]Прил. 6 (кальк)'!D28</f>
        <v>0</v>
      </c>
      <c r="E29" s="88">
        <f>'[1]Прил. 6 (кальк)'!E28</f>
        <v>800</v>
      </c>
      <c r="F29" s="83">
        <f t="shared" si="1"/>
        <v>0</v>
      </c>
    </row>
    <row r="30" spans="1:12" ht="36.75" customHeight="1" x14ac:dyDescent="0.2">
      <c r="A30" s="91"/>
      <c r="B30" s="89" t="s">
        <v>53</v>
      </c>
      <c r="C30" s="90" t="s">
        <v>15</v>
      </c>
      <c r="D30" s="88">
        <f>'[1]Прил. 6 (кальк)'!D29</f>
        <v>0</v>
      </c>
      <c r="E30" s="88">
        <f>'[1]Прил. 6 (кальк)'!E29</f>
        <v>1800</v>
      </c>
      <c r="F30" s="83">
        <f t="shared" si="1"/>
        <v>0</v>
      </c>
    </row>
    <row r="31" spans="1:12" ht="30.75" customHeight="1" x14ac:dyDescent="0.2">
      <c r="A31" s="91"/>
      <c r="B31" s="86" t="s">
        <v>46</v>
      </c>
      <c r="C31" s="90" t="s">
        <v>15</v>
      </c>
      <c r="D31" s="88">
        <f>'[1]Прил. 6 (кальк)'!D30</f>
        <v>0</v>
      </c>
      <c r="E31" s="88">
        <f>'[1]Прил. 6 (кальк)'!E30</f>
        <v>0</v>
      </c>
      <c r="F31" s="83" t="str">
        <f t="shared" si="1"/>
        <v/>
      </c>
    </row>
    <row r="32" spans="1:12" ht="30.75" customHeight="1" x14ac:dyDescent="0.2">
      <c r="A32" s="91"/>
      <c r="B32" s="89" t="s">
        <v>53</v>
      </c>
      <c r="C32" s="90" t="s">
        <v>84</v>
      </c>
      <c r="D32" s="88">
        <f>'[1]Прил. 6 (кальк)'!D31</f>
        <v>0</v>
      </c>
      <c r="E32" s="88">
        <f>'[1]Прил. 6 (кальк)'!E31</f>
        <v>0</v>
      </c>
      <c r="F32" s="83" t="str">
        <f t="shared" si="1"/>
        <v/>
      </c>
    </row>
    <row r="33" spans="1:12" ht="30.75" customHeight="1" x14ac:dyDescent="0.2">
      <c r="A33" s="91"/>
      <c r="B33" s="86" t="s">
        <v>46</v>
      </c>
      <c r="C33" s="90" t="s">
        <v>84</v>
      </c>
      <c r="D33" s="88">
        <f>'[1]Прил. 6 (кальк)'!D32</f>
        <v>0</v>
      </c>
      <c r="E33" s="88">
        <f>'[1]Прил. 6 (кальк)'!E32</f>
        <v>3300</v>
      </c>
      <c r="F33" s="83">
        <f t="shared" si="1"/>
        <v>0</v>
      </c>
    </row>
    <row r="34" spans="1:12" ht="30.75" customHeight="1" x14ac:dyDescent="0.2">
      <c r="A34" s="91"/>
      <c r="B34" s="89" t="s">
        <v>53</v>
      </c>
      <c r="C34" s="90" t="s">
        <v>85</v>
      </c>
      <c r="D34" s="88">
        <f>'[1]Прил. 6 (кальк)'!D33</f>
        <v>0</v>
      </c>
      <c r="E34" s="88">
        <f>'[1]Прил. 6 (кальк)'!E33</f>
        <v>0</v>
      </c>
      <c r="F34" s="83" t="str">
        <f t="shared" si="1"/>
        <v/>
      </c>
    </row>
    <row r="35" spans="1:12" ht="30.75" customHeight="1" x14ac:dyDescent="0.2">
      <c r="A35" s="91"/>
      <c r="B35" s="86" t="s">
        <v>46</v>
      </c>
      <c r="C35" s="90" t="s">
        <v>85</v>
      </c>
      <c r="D35" s="88">
        <f>'[1]Прил. 6 (кальк)'!D34</f>
        <v>0</v>
      </c>
      <c r="E35" s="88">
        <f>'[1]Прил. 6 (кальк)'!E34</f>
        <v>0</v>
      </c>
      <c r="F35" s="83" t="str">
        <f t="shared" si="1"/>
        <v/>
      </c>
    </row>
    <row r="36" spans="1:12" ht="60.75" customHeight="1" x14ac:dyDescent="0.2">
      <c r="A36" s="84">
        <v>3</v>
      </c>
      <c r="B36" s="81" t="s">
        <v>223</v>
      </c>
      <c r="C36" s="81"/>
      <c r="D36" s="82">
        <f>D37+D77+D111+D123+D137</f>
        <v>31455138.881766468</v>
      </c>
      <c r="E36" s="82">
        <f>E37+E77+E111+E123+E137</f>
        <v>1095.7566666666667</v>
      </c>
      <c r="F36" s="82">
        <f t="shared" si="1"/>
        <v>28706.317596455236</v>
      </c>
      <c r="L36" s="245">
        <f>'[1]Прил. 6 (кальк)'!$D$35</f>
        <v>31455138.881766468</v>
      </c>
    </row>
    <row r="37" spans="1:12" ht="25.5" customHeight="1" x14ac:dyDescent="0.2">
      <c r="A37" s="84" t="s">
        <v>33</v>
      </c>
      <c r="B37" s="81" t="s">
        <v>189</v>
      </c>
      <c r="C37" s="81" t="s">
        <v>18</v>
      </c>
      <c r="D37" s="82">
        <f>SUM(D40,D43,D46,D49,D52,D55,D58,D61,D64,D67,D70,D73,D76)</f>
        <v>19917520.852250006</v>
      </c>
      <c r="E37" s="82">
        <f>SUM(E40,E43,E46,E49,E52,E55,E58,E61,E64,E67,E70,E73,E76)</f>
        <v>895.57333333333327</v>
      </c>
      <c r="F37" s="85">
        <f t="shared" si="1"/>
        <v>22239.966411367772</v>
      </c>
      <c r="L37" s="245">
        <f>'[1]Прил. 6 (кальк)'!$D$46</f>
        <v>19917520.852250006</v>
      </c>
    </row>
    <row r="38" spans="1:12" ht="37.5" x14ac:dyDescent="0.2">
      <c r="A38" s="93"/>
      <c r="B38" s="94" t="s">
        <v>275</v>
      </c>
      <c r="C38" s="95">
        <v>0.4</v>
      </c>
      <c r="D38" s="96"/>
      <c r="E38" s="97"/>
      <c r="F38" s="97" t="str">
        <f t="shared" ref="F38:F40" si="2">IF(ISERROR(D38/E38),"",D38/E38)</f>
        <v/>
      </c>
    </row>
    <row r="39" spans="1:12" ht="18.75" x14ac:dyDescent="0.2">
      <c r="A39" s="98"/>
      <c r="B39" s="42" t="s">
        <v>86</v>
      </c>
      <c r="C39" s="99">
        <v>0.4</v>
      </c>
      <c r="D39" s="100"/>
      <c r="E39" s="101"/>
      <c r="F39" s="101" t="str">
        <f t="shared" si="2"/>
        <v/>
      </c>
    </row>
    <row r="40" spans="1:12" ht="18.75" x14ac:dyDescent="0.2">
      <c r="A40" s="102"/>
      <c r="B40" s="43" t="s">
        <v>87</v>
      </c>
      <c r="C40" s="103">
        <v>0.4</v>
      </c>
      <c r="D40" s="104">
        <f>'[1]Прил. 6 (кальк)'!D47</f>
        <v>6261506.6508333357</v>
      </c>
      <c r="E40" s="104">
        <f>'[1]Прил. 6 (кальк)'!E47</f>
        <v>307.09999999999997</v>
      </c>
      <c r="F40" s="105">
        <f t="shared" si="2"/>
        <v>20389.145720720731</v>
      </c>
    </row>
    <row r="41" spans="1:12" ht="37.5" x14ac:dyDescent="0.2">
      <c r="A41" s="93"/>
      <c r="B41" s="94" t="s">
        <v>275</v>
      </c>
      <c r="C41" s="107" t="s">
        <v>15</v>
      </c>
      <c r="D41" s="96"/>
      <c r="E41" s="97"/>
      <c r="F41" s="97" t="str">
        <f t="shared" ref="F41:F43" si="3">IF(ISERROR(D41/E41),"",D41/E41)</f>
        <v/>
      </c>
    </row>
    <row r="42" spans="1:12" ht="18.75" x14ac:dyDescent="0.2">
      <c r="A42" s="98"/>
      <c r="B42" s="42" t="s">
        <v>86</v>
      </c>
      <c r="C42" s="108" t="s">
        <v>15</v>
      </c>
      <c r="D42" s="100"/>
      <c r="E42" s="101"/>
      <c r="F42" s="101" t="str">
        <f t="shared" si="3"/>
        <v/>
      </c>
    </row>
    <row r="43" spans="1:12" ht="18.75" x14ac:dyDescent="0.2">
      <c r="A43" s="102"/>
      <c r="B43" s="43" t="s">
        <v>87</v>
      </c>
      <c r="C43" s="109" t="s">
        <v>15</v>
      </c>
      <c r="D43" s="104">
        <f>'[1]Прил. 6 (кальк)'!D48</f>
        <v>1880276.8540000005</v>
      </c>
      <c r="E43" s="104">
        <f>'[1]Прил. 6 (кальк)'!E48</f>
        <v>66.399999999999991</v>
      </c>
      <c r="F43" s="105">
        <f t="shared" si="3"/>
        <v>28317.422500000011</v>
      </c>
    </row>
    <row r="44" spans="1:12" ht="37.5" x14ac:dyDescent="0.2">
      <c r="A44" s="93"/>
      <c r="B44" s="94" t="s">
        <v>208</v>
      </c>
      <c r="C44" s="95">
        <v>0.4</v>
      </c>
      <c r="D44" s="96"/>
      <c r="E44" s="97"/>
      <c r="F44" s="97" t="str">
        <f t="shared" si="1"/>
        <v/>
      </c>
    </row>
    <row r="45" spans="1:12" ht="18.75" x14ac:dyDescent="0.2">
      <c r="A45" s="98"/>
      <c r="B45" s="42" t="s">
        <v>86</v>
      </c>
      <c r="C45" s="99">
        <v>0.4</v>
      </c>
      <c r="D45" s="100"/>
      <c r="E45" s="101"/>
      <c r="F45" s="101" t="str">
        <f t="shared" si="1"/>
        <v/>
      </c>
    </row>
    <row r="46" spans="1:12" ht="18.75" x14ac:dyDescent="0.2">
      <c r="A46" s="102"/>
      <c r="B46" s="43" t="s">
        <v>87</v>
      </c>
      <c r="C46" s="103">
        <v>0.4</v>
      </c>
      <c r="D46" s="104">
        <f>'[1]Прил. 6 (кальк)'!D51</f>
        <v>767365.53708333347</v>
      </c>
      <c r="E46" s="104">
        <f>'[1]Прил. 6 (кальк)'!E51</f>
        <v>82.5</v>
      </c>
      <c r="F46" s="105">
        <f t="shared" si="1"/>
        <v>9301.4004494949513</v>
      </c>
    </row>
    <row r="47" spans="1:12" ht="37.5" x14ac:dyDescent="0.2">
      <c r="A47" s="93"/>
      <c r="B47" s="94" t="s">
        <v>208</v>
      </c>
      <c r="C47" s="107" t="s">
        <v>15</v>
      </c>
      <c r="D47" s="96"/>
      <c r="E47" s="97"/>
      <c r="F47" s="97" t="str">
        <f t="shared" si="1"/>
        <v/>
      </c>
    </row>
    <row r="48" spans="1:12" ht="18.75" x14ac:dyDescent="0.2">
      <c r="A48" s="98"/>
      <c r="B48" s="42" t="s">
        <v>86</v>
      </c>
      <c r="C48" s="108" t="s">
        <v>15</v>
      </c>
      <c r="D48" s="100"/>
      <c r="E48" s="101"/>
      <c r="F48" s="101" t="str">
        <f t="shared" si="1"/>
        <v/>
      </c>
    </row>
    <row r="49" spans="1:6" ht="18.75" x14ac:dyDescent="0.2">
      <c r="A49" s="102"/>
      <c r="B49" s="43" t="s">
        <v>87</v>
      </c>
      <c r="C49" s="109" t="s">
        <v>15</v>
      </c>
      <c r="D49" s="104">
        <f>'[1]Прил. 6 (кальк)'!D54</f>
        <v>976705.46033333358</v>
      </c>
      <c r="E49" s="104">
        <f>'[1]Прил. 6 (кальк)'!E54</f>
        <v>68.333333333333329</v>
      </c>
      <c r="F49" s="105">
        <f t="shared" si="1"/>
        <v>14293.250639024394</v>
      </c>
    </row>
    <row r="50" spans="1:6" ht="18.75" x14ac:dyDescent="0.2">
      <c r="A50" s="93"/>
      <c r="B50" s="106" t="s">
        <v>50</v>
      </c>
      <c r="C50" s="95">
        <v>0.4</v>
      </c>
      <c r="D50" s="96"/>
      <c r="E50" s="97"/>
      <c r="F50" s="97" t="str">
        <f t="shared" si="1"/>
        <v/>
      </c>
    </row>
    <row r="51" spans="1:6" ht="18.75" x14ac:dyDescent="0.2">
      <c r="A51" s="98"/>
      <c r="B51" s="42" t="s">
        <v>86</v>
      </c>
      <c r="C51" s="99">
        <v>0.4</v>
      </c>
      <c r="D51" s="100"/>
      <c r="E51" s="101"/>
      <c r="F51" s="101" t="str">
        <f t="shared" si="1"/>
        <v/>
      </c>
    </row>
    <row r="52" spans="1:6" ht="18.75" x14ac:dyDescent="0.2">
      <c r="A52" s="102"/>
      <c r="B52" s="43" t="s">
        <v>87</v>
      </c>
      <c r="C52" s="103">
        <v>0.4</v>
      </c>
      <c r="D52" s="104">
        <f>'[1]Прил. 6 (кальк)'!D57</f>
        <v>235358.12000000005</v>
      </c>
      <c r="E52" s="104">
        <f>'[1]Прил. 6 (кальк)'!E57</f>
        <v>44.26</v>
      </c>
      <c r="F52" s="105">
        <f t="shared" si="1"/>
        <v>5317.6258472661557</v>
      </c>
    </row>
    <row r="53" spans="1:6" ht="18.75" x14ac:dyDescent="0.2">
      <c r="A53" s="93"/>
      <c r="B53" s="106" t="s">
        <v>51</v>
      </c>
      <c r="C53" s="107" t="s">
        <v>15</v>
      </c>
      <c r="D53" s="96"/>
      <c r="E53" s="97"/>
      <c r="F53" s="97" t="str">
        <f t="shared" si="1"/>
        <v/>
      </c>
    </row>
    <row r="54" spans="1:6" ht="18.75" x14ac:dyDescent="0.2">
      <c r="A54" s="98"/>
      <c r="B54" s="42" t="s">
        <v>86</v>
      </c>
      <c r="C54" s="108" t="s">
        <v>15</v>
      </c>
      <c r="D54" s="100"/>
      <c r="E54" s="101"/>
      <c r="F54" s="101" t="str">
        <f t="shared" si="1"/>
        <v/>
      </c>
    </row>
    <row r="55" spans="1:6" ht="18.75" x14ac:dyDescent="0.2">
      <c r="A55" s="102"/>
      <c r="B55" s="43" t="s">
        <v>87</v>
      </c>
      <c r="C55" s="109" t="s">
        <v>15</v>
      </c>
      <c r="D55" s="104">
        <f>'[1]Прил. 6 (кальк)'!D60</f>
        <v>9670151.9650000017</v>
      </c>
      <c r="E55" s="104">
        <f>'[1]Прил. 6 (кальк)'!E60</f>
        <v>114.65</v>
      </c>
      <c r="F55" s="105">
        <f t="shared" si="1"/>
        <v>84344.980069777594</v>
      </c>
    </row>
    <row r="56" spans="1:6" ht="18.75" x14ac:dyDescent="0.2">
      <c r="A56" s="93"/>
      <c r="B56" s="106" t="s">
        <v>52</v>
      </c>
      <c r="C56" s="95">
        <v>0.4</v>
      </c>
      <c r="D56" s="96"/>
      <c r="E56" s="97"/>
      <c r="F56" s="97" t="str">
        <f t="shared" si="1"/>
        <v/>
      </c>
    </row>
    <row r="57" spans="1:6" ht="18.75" x14ac:dyDescent="0.2">
      <c r="A57" s="98"/>
      <c r="B57" s="42" t="s">
        <v>86</v>
      </c>
      <c r="C57" s="99">
        <v>0.4</v>
      </c>
      <c r="D57" s="100"/>
      <c r="E57" s="101"/>
      <c r="F57" s="101" t="str">
        <f t="shared" si="1"/>
        <v/>
      </c>
    </row>
    <row r="58" spans="1:6" ht="18.75" x14ac:dyDescent="0.2">
      <c r="A58" s="102"/>
      <c r="B58" s="43" t="s">
        <v>87</v>
      </c>
      <c r="C58" s="103">
        <v>0.4</v>
      </c>
      <c r="D58" s="104">
        <f>'[1]Прил. 6 (кальк)'!D63</f>
        <v>0</v>
      </c>
      <c r="E58" s="104">
        <f>'[1]Прил. 6 (кальк)'!E63</f>
        <v>0</v>
      </c>
      <c r="F58" s="105" t="str">
        <f t="shared" si="1"/>
        <v/>
      </c>
    </row>
    <row r="59" spans="1:6" ht="18.75" x14ac:dyDescent="0.2">
      <c r="A59" s="93"/>
      <c r="B59" s="106" t="s">
        <v>53</v>
      </c>
      <c r="C59" s="107" t="s">
        <v>15</v>
      </c>
      <c r="D59" s="96"/>
      <c r="E59" s="97"/>
      <c r="F59" s="97" t="str">
        <f t="shared" si="1"/>
        <v/>
      </c>
    </row>
    <row r="60" spans="1:6" ht="18.75" x14ac:dyDescent="0.2">
      <c r="A60" s="98"/>
      <c r="B60" s="42" t="s">
        <v>86</v>
      </c>
      <c r="C60" s="108" t="s">
        <v>15</v>
      </c>
      <c r="D60" s="100"/>
      <c r="E60" s="101"/>
      <c r="F60" s="101" t="str">
        <f t="shared" si="1"/>
        <v/>
      </c>
    </row>
    <row r="61" spans="1:6" ht="18.75" x14ac:dyDescent="0.2">
      <c r="A61" s="102"/>
      <c r="B61" s="43" t="s">
        <v>87</v>
      </c>
      <c r="C61" s="109" t="s">
        <v>15</v>
      </c>
      <c r="D61" s="104">
        <f>'[1]Прил. 6 (кальк)'!D66</f>
        <v>126156.26500000001</v>
      </c>
      <c r="E61" s="104">
        <f>'[1]Прил. 6 (кальк)'!E66</f>
        <v>212.33</v>
      </c>
      <c r="F61" s="105">
        <f t="shared" si="1"/>
        <v>594.15186266660385</v>
      </c>
    </row>
    <row r="62" spans="1:6" ht="18.75" x14ac:dyDescent="0.2">
      <c r="A62" s="110"/>
      <c r="B62" s="94" t="s">
        <v>46</v>
      </c>
      <c r="C62" s="107" t="s">
        <v>15</v>
      </c>
      <c r="D62" s="96"/>
      <c r="E62" s="97"/>
      <c r="F62" s="97" t="str">
        <f t="shared" si="1"/>
        <v/>
      </c>
    </row>
    <row r="63" spans="1:6" ht="18.75" x14ac:dyDescent="0.2">
      <c r="A63" s="111"/>
      <c r="B63" s="42" t="s">
        <v>86</v>
      </c>
      <c r="C63" s="108" t="s">
        <v>15</v>
      </c>
      <c r="D63" s="100"/>
      <c r="E63" s="101"/>
      <c r="F63" s="101" t="str">
        <f t="shared" si="1"/>
        <v/>
      </c>
    </row>
    <row r="64" spans="1:6" ht="18.75" x14ac:dyDescent="0.2">
      <c r="A64" s="112"/>
      <c r="B64" s="43" t="s">
        <v>87</v>
      </c>
      <c r="C64" s="109" t="s">
        <v>15</v>
      </c>
      <c r="D64" s="104">
        <f>'[1]Прил. 6 (кальк)'!D69</f>
        <v>0</v>
      </c>
      <c r="E64" s="104">
        <f>'[1]Прил. 6 (кальк)'!E69</f>
        <v>0</v>
      </c>
      <c r="F64" s="105" t="str">
        <f t="shared" si="1"/>
        <v/>
      </c>
    </row>
    <row r="65" spans="1:12" ht="18.75" x14ac:dyDescent="0.2">
      <c r="A65" s="110"/>
      <c r="B65" s="106" t="s">
        <v>53</v>
      </c>
      <c r="C65" s="107" t="s">
        <v>84</v>
      </c>
      <c r="D65" s="96"/>
      <c r="E65" s="97"/>
      <c r="F65" s="97" t="str">
        <f t="shared" si="1"/>
        <v/>
      </c>
    </row>
    <row r="66" spans="1:12" ht="18.75" x14ac:dyDescent="0.2">
      <c r="A66" s="111"/>
      <c r="B66" s="42" t="s">
        <v>86</v>
      </c>
      <c r="C66" s="108" t="s">
        <v>84</v>
      </c>
      <c r="D66" s="100"/>
      <c r="E66" s="101"/>
      <c r="F66" s="101" t="str">
        <f t="shared" si="1"/>
        <v/>
      </c>
    </row>
    <row r="67" spans="1:12" ht="18.75" x14ac:dyDescent="0.2">
      <c r="A67" s="112"/>
      <c r="B67" s="43" t="s">
        <v>87</v>
      </c>
      <c r="C67" s="109" t="s">
        <v>84</v>
      </c>
      <c r="D67" s="104">
        <f>'[1]Прил. 6 (кальк)'!D72</f>
        <v>0</v>
      </c>
      <c r="E67" s="104">
        <f>'[1]Прил. 6 (кальк)'!E72</f>
        <v>0</v>
      </c>
      <c r="F67" s="105" t="str">
        <f t="shared" si="1"/>
        <v/>
      </c>
    </row>
    <row r="68" spans="1:12" ht="18.75" x14ac:dyDescent="0.2">
      <c r="A68" s="110"/>
      <c r="B68" s="94" t="s">
        <v>46</v>
      </c>
      <c r="C68" s="107" t="s">
        <v>84</v>
      </c>
      <c r="D68" s="96"/>
      <c r="E68" s="97"/>
      <c r="F68" s="97" t="str">
        <f t="shared" si="1"/>
        <v/>
      </c>
    </row>
    <row r="69" spans="1:12" ht="18.75" x14ac:dyDescent="0.2">
      <c r="A69" s="111"/>
      <c r="B69" s="42" t="s">
        <v>86</v>
      </c>
      <c r="C69" s="108" t="s">
        <v>84</v>
      </c>
      <c r="D69" s="104"/>
      <c r="E69" s="104"/>
      <c r="F69" s="101" t="str">
        <f t="shared" si="1"/>
        <v/>
      </c>
    </row>
    <row r="70" spans="1:12" ht="18.75" x14ac:dyDescent="0.2">
      <c r="A70" s="112"/>
      <c r="B70" s="43" t="s">
        <v>87</v>
      </c>
      <c r="C70" s="109" t="s">
        <v>84</v>
      </c>
      <c r="D70" s="104">
        <f>'[1]Прил. 6 (кальк)'!D75</f>
        <v>0</v>
      </c>
      <c r="E70" s="104">
        <f>'[1]Прил. 6 (кальк)'!E75</f>
        <v>0</v>
      </c>
      <c r="F70" s="105" t="str">
        <f t="shared" si="1"/>
        <v/>
      </c>
    </row>
    <row r="71" spans="1:12" ht="18.75" x14ac:dyDescent="0.2">
      <c r="A71" s="110"/>
      <c r="B71" s="106" t="s">
        <v>53</v>
      </c>
      <c r="C71" s="107" t="s">
        <v>85</v>
      </c>
      <c r="D71" s="96"/>
      <c r="E71" s="97"/>
      <c r="F71" s="97" t="str">
        <f t="shared" si="1"/>
        <v/>
      </c>
    </row>
    <row r="72" spans="1:12" ht="18.75" x14ac:dyDescent="0.2">
      <c r="A72" s="111"/>
      <c r="B72" s="42" t="s">
        <v>86</v>
      </c>
      <c r="C72" s="108" t="s">
        <v>85</v>
      </c>
      <c r="D72" s="100"/>
      <c r="E72" s="101"/>
      <c r="F72" s="101" t="str">
        <f t="shared" si="1"/>
        <v/>
      </c>
    </row>
    <row r="73" spans="1:12" ht="18.75" x14ac:dyDescent="0.2">
      <c r="A73" s="112"/>
      <c r="B73" s="43" t="s">
        <v>87</v>
      </c>
      <c r="C73" s="109" t="s">
        <v>85</v>
      </c>
      <c r="D73" s="104">
        <f>'[1]Прил. 6 (кальк)'!D78</f>
        <v>0</v>
      </c>
      <c r="E73" s="104">
        <f>'[1]Прил. 6 (кальк)'!E78</f>
        <v>0</v>
      </c>
      <c r="F73" s="105" t="str">
        <f t="shared" si="1"/>
        <v/>
      </c>
    </row>
    <row r="74" spans="1:12" ht="18.75" x14ac:dyDescent="0.2">
      <c r="A74" s="110"/>
      <c r="B74" s="94" t="s">
        <v>46</v>
      </c>
      <c r="C74" s="107" t="s">
        <v>85</v>
      </c>
      <c r="D74" s="96"/>
      <c r="E74" s="97"/>
      <c r="F74" s="97" t="str">
        <f t="shared" si="1"/>
        <v/>
      </c>
    </row>
    <row r="75" spans="1:12" ht="18.75" x14ac:dyDescent="0.2">
      <c r="A75" s="111"/>
      <c r="B75" s="42" t="s">
        <v>86</v>
      </c>
      <c r="C75" s="108" t="s">
        <v>85</v>
      </c>
      <c r="D75" s="100"/>
      <c r="E75" s="101"/>
      <c r="F75" s="101" t="str">
        <f t="shared" si="1"/>
        <v/>
      </c>
    </row>
    <row r="76" spans="1:12" ht="18.75" x14ac:dyDescent="0.2">
      <c r="A76" s="112"/>
      <c r="B76" s="43" t="s">
        <v>87</v>
      </c>
      <c r="C76" s="109" t="s">
        <v>85</v>
      </c>
      <c r="D76" s="104">
        <f>'[1]Прил. 6 (кальк)'!D81</f>
        <v>0</v>
      </c>
      <c r="E76" s="104">
        <f>'[1]Прил. 6 (кальк)'!E81</f>
        <v>0</v>
      </c>
      <c r="F76" s="105" t="str">
        <f t="shared" si="1"/>
        <v/>
      </c>
    </row>
    <row r="77" spans="1:12" ht="40.5" customHeight="1" x14ac:dyDescent="0.2">
      <c r="A77" s="84" t="s">
        <v>34</v>
      </c>
      <c r="B77" s="81" t="s">
        <v>156</v>
      </c>
      <c r="C77" s="81" t="s">
        <v>18</v>
      </c>
      <c r="D77" s="104">
        <f>'[1]Прил. 6 (кальк)'!D82</f>
        <v>0</v>
      </c>
      <c r="E77" s="104">
        <f>'[1]Прил. 6 (кальк)'!E82</f>
        <v>0</v>
      </c>
      <c r="F77" s="82" t="str">
        <f t="shared" si="1"/>
        <v/>
      </c>
      <c r="L77" s="259">
        <f>'[1]Прил. 6 (кальк)'!$D$82</f>
        <v>0</v>
      </c>
    </row>
    <row r="78" spans="1:12" ht="37.5" x14ac:dyDescent="0.2">
      <c r="A78" s="93"/>
      <c r="B78" s="94" t="s">
        <v>275</v>
      </c>
      <c r="C78" s="95"/>
      <c r="D78" s="96"/>
      <c r="E78" s="97"/>
      <c r="F78" s="97" t="str">
        <f t="shared" ref="F78:F80" si="4">IF(ISERROR(D78/E78),"",D78/E78)</f>
        <v/>
      </c>
    </row>
    <row r="79" spans="1:12" ht="18.75" x14ac:dyDescent="0.2">
      <c r="A79" s="98"/>
      <c r="B79" s="42" t="s">
        <v>88</v>
      </c>
      <c r="C79" s="99"/>
      <c r="D79" s="100"/>
      <c r="E79" s="101"/>
      <c r="F79" s="101" t="str">
        <f t="shared" si="4"/>
        <v/>
      </c>
    </row>
    <row r="80" spans="1:12" ht="18.75" x14ac:dyDescent="0.2">
      <c r="A80" s="102"/>
      <c r="B80" s="43" t="s">
        <v>89</v>
      </c>
      <c r="C80" s="103"/>
      <c r="D80" s="104"/>
      <c r="E80" s="105"/>
      <c r="F80" s="105" t="str">
        <f t="shared" si="4"/>
        <v/>
      </c>
    </row>
    <row r="81" spans="1:6" ht="37.5" x14ac:dyDescent="0.2">
      <c r="A81" s="93"/>
      <c r="B81" s="94" t="s">
        <v>208</v>
      </c>
      <c r="C81" s="95"/>
      <c r="D81" s="96"/>
      <c r="E81" s="97"/>
      <c r="F81" s="97" t="str">
        <f t="shared" si="1"/>
        <v/>
      </c>
    </row>
    <row r="82" spans="1:6" ht="18.75" x14ac:dyDescent="0.2">
      <c r="A82" s="98"/>
      <c r="B82" s="42" t="s">
        <v>88</v>
      </c>
      <c r="C82" s="99"/>
      <c r="D82" s="100"/>
      <c r="E82" s="101"/>
      <c r="F82" s="101" t="str">
        <f t="shared" si="1"/>
        <v/>
      </c>
    </row>
    <row r="83" spans="1:6" ht="18.75" x14ac:dyDescent="0.2">
      <c r="A83" s="102"/>
      <c r="B83" s="43" t="s">
        <v>89</v>
      </c>
      <c r="C83" s="103"/>
      <c r="D83" s="104"/>
      <c r="E83" s="105"/>
      <c r="F83" s="105" t="str">
        <f t="shared" si="1"/>
        <v/>
      </c>
    </row>
    <row r="84" spans="1:6" ht="18.75" x14ac:dyDescent="0.2">
      <c r="A84" s="93"/>
      <c r="B84" s="106" t="s">
        <v>50</v>
      </c>
      <c r="C84" s="95">
        <v>0.4</v>
      </c>
      <c r="D84" s="96"/>
      <c r="E84" s="97"/>
      <c r="F84" s="97" t="str">
        <f t="shared" si="1"/>
        <v/>
      </c>
    </row>
    <row r="85" spans="1:6" ht="18.75" x14ac:dyDescent="0.2">
      <c r="A85" s="98"/>
      <c r="B85" s="42" t="s">
        <v>88</v>
      </c>
      <c r="C85" s="99">
        <v>0.4</v>
      </c>
      <c r="D85" s="100"/>
      <c r="E85" s="101"/>
      <c r="F85" s="101" t="str">
        <f t="shared" si="1"/>
        <v/>
      </c>
    </row>
    <row r="86" spans="1:6" ht="18.75" x14ac:dyDescent="0.2">
      <c r="A86" s="102"/>
      <c r="B86" s="43" t="s">
        <v>89</v>
      </c>
      <c r="C86" s="103">
        <v>0.4</v>
      </c>
      <c r="D86" s="104"/>
      <c r="E86" s="105"/>
      <c r="F86" s="105" t="str">
        <f t="shared" ref="F86:F153" si="5">IF(ISERROR(D86/E86),"",D86/E86)</f>
        <v/>
      </c>
    </row>
    <row r="87" spans="1:6" ht="18.75" x14ac:dyDescent="0.2">
      <c r="A87" s="93"/>
      <c r="B87" s="106" t="s">
        <v>51</v>
      </c>
      <c r="C87" s="107" t="s">
        <v>15</v>
      </c>
      <c r="D87" s="96"/>
      <c r="E87" s="97"/>
      <c r="F87" s="97" t="str">
        <f t="shared" si="5"/>
        <v/>
      </c>
    </row>
    <row r="88" spans="1:6" ht="18.75" x14ac:dyDescent="0.2">
      <c r="A88" s="98"/>
      <c r="B88" s="42" t="s">
        <v>88</v>
      </c>
      <c r="C88" s="108" t="s">
        <v>15</v>
      </c>
      <c r="D88" s="100"/>
      <c r="E88" s="101"/>
      <c r="F88" s="101" t="str">
        <f t="shared" si="5"/>
        <v/>
      </c>
    </row>
    <row r="89" spans="1:6" ht="18.75" x14ac:dyDescent="0.2">
      <c r="A89" s="102"/>
      <c r="B89" s="43" t="s">
        <v>89</v>
      </c>
      <c r="C89" s="109" t="s">
        <v>15</v>
      </c>
      <c r="D89" s="104"/>
      <c r="E89" s="105"/>
      <c r="F89" s="105" t="str">
        <f t="shared" si="5"/>
        <v/>
      </c>
    </row>
    <row r="90" spans="1:6" ht="18.75" x14ac:dyDescent="0.2">
      <c r="A90" s="93"/>
      <c r="B90" s="106" t="s">
        <v>52</v>
      </c>
      <c r="C90" s="95">
        <v>0.4</v>
      </c>
      <c r="D90" s="96"/>
      <c r="E90" s="97"/>
      <c r="F90" s="97" t="str">
        <f t="shared" si="5"/>
        <v/>
      </c>
    </row>
    <row r="91" spans="1:6" ht="18.75" x14ac:dyDescent="0.2">
      <c r="A91" s="98"/>
      <c r="B91" s="42" t="s">
        <v>88</v>
      </c>
      <c r="C91" s="99">
        <v>0.4</v>
      </c>
      <c r="D91" s="100"/>
      <c r="E91" s="101"/>
      <c r="F91" s="101" t="str">
        <f t="shared" si="5"/>
        <v/>
      </c>
    </row>
    <row r="92" spans="1:6" ht="18.75" x14ac:dyDescent="0.2">
      <c r="A92" s="102"/>
      <c r="B92" s="43" t="s">
        <v>89</v>
      </c>
      <c r="C92" s="103">
        <v>0.4</v>
      </c>
      <c r="D92" s="104"/>
      <c r="E92" s="105"/>
      <c r="F92" s="105" t="str">
        <f t="shared" si="5"/>
        <v/>
      </c>
    </row>
    <row r="93" spans="1:6" ht="18.75" x14ac:dyDescent="0.2">
      <c r="A93" s="93"/>
      <c r="B93" s="106" t="s">
        <v>53</v>
      </c>
      <c r="C93" s="107" t="s">
        <v>15</v>
      </c>
      <c r="D93" s="96"/>
      <c r="E93" s="97"/>
      <c r="F93" s="97" t="str">
        <f t="shared" si="5"/>
        <v/>
      </c>
    </row>
    <row r="94" spans="1:6" ht="18.75" x14ac:dyDescent="0.2">
      <c r="A94" s="98"/>
      <c r="B94" s="42" t="s">
        <v>88</v>
      </c>
      <c r="C94" s="108" t="s">
        <v>15</v>
      </c>
      <c r="D94" s="100"/>
      <c r="E94" s="101"/>
      <c r="F94" s="101" t="str">
        <f t="shared" si="5"/>
        <v/>
      </c>
    </row>
    <row r="95" spans="1:6" ht="18.75" x14ac:dyDescent="0.2">
      <c r="A95" s="102"/>
      <c r="B95" s="43" t="s">
        <v>89</v>
      </c>
      <c r="C95" s="109" t="s">
        <v>15</v>
      </c>
      <c r="D95" s="104"/>
      <c r="E95" s="105"/>
      <c r="F95" s="105" t="str">
        <f t="shared" si="5"/>
        <v/>
      </c>
    </row>
    <row r="96" spans="1:6" ht="18.75" x14ac:dyDescent="0.2">
      <c r="A96" s="110"/>
      <c r="B96" s="94" t="s">
        <v>46</v>
      </c>
      <c r="C96" s="107" t="s">
        <v>15</v>
      </c>
      <c r="D96" s="96"/>
      <c r="E96" s="97"/>
      <c r="F96" s="97" t="str">
        <f t="shared" si="5"/>
        <v/>
      </c>
    </row>
    <row r="97" spans="1:12" ht="18.75" x14ac:dyDescent="0.2">
      <c r="A97" s="111"/>
      <c r="B97" s="42" t="s">
        <v>88</v>
      </c>
      <c r="C97" s="108" t="s">
        <v>15</v>
      </c>
      <c r="D97" s="100"/>
      <c r="E97" s="101"/>
      <c r="F97" s="101" t="str">
        <f t="shared" si="5"/>
        <v/>
      </c>
    </row>
    <row r="98" spans="1:12" ht="18.75" x14ac:dyDescent="0.2">
      <c r="A98" s="112"/>
      <c r="B98" s="43" t="s">
        <v>89</v>
      </c>
      <c r="C98" s="109" t="s">
        <v>15</v>
      </c>
      <c r="D98" s="104"/>
      <c r="E98" s="105"/>
      <c r="F98" s="105" t="str">
        <f t="shared" si="5"/>
        <v/>
      </c>
    </row>
    <row r="99" spans="1:12" ht="18.75" x14ac:dyDescent="0.2">
      <c r="A99" s="110"/>
      <c r="B99" s="106" t="s">
        <v>53</v>
      </c>
      <c r="C99" s="107" t="s">
        <v>84</v>
      </c>
      <c r="D99" s="96"/>
      <c r="E99" s="97"/>
      <c r="F99" s="97" t="str">
        <f t="shared" si="5"/>
        <v/>
      </c>
    </row>
    <row r="100" spans="1:12" ht="18.75" x14ac:dyDescent="0.2">
      <c r="A100" s="111"/>
      <c r="B100" s="42" t="s">
        <v>88</v>
      </c>
      <c r="C100" s="108" t="s">
        <v>84</v>
      </c>
      <c r="D100" s="100"/>
      <c r="E100" s="101"/>
      <c r="F100" s="101" t="str">
        <f t="shared" si="5"/>
        <v/>
      </c>
    </row>
    <row r="101" spans="1:12" ht="18.75" x14ac:dyDescent="0.2">
      <c r="A101" s="112"/>
      <c r="B101" s="43" t="s">
        <v>89</v>
      </c>
      <c r="C101" s="109" t="s">
        <v>84</v>
      </c>
      <c r="D101" s="104"/>
      <c r="E101" s="105"/>
      <c r="F101" s="105" t="str">
        <f t="shared" si="5"/>
        <v/>
      </c>
    </row>
    <row r="102" spans="1:12" ht="18.75" x14ac:dyDescent="0.2">
      <c r="A102" s="110"/>
      <c r="B102" s="94" t="s">
        <v>46</v>
      </c>
      <c r="C102" s="107" t="s">
        <v>84</v>
      </c>
      <c r="D102" s="96"/>
      <c r="E102" s="97"/>
      <c r="F102" s="97" t="str">
        <f t="shared" si="5"/>
        <v/>
      </c>
    </row>
    <row r="103" spans="1:12" ht="18.75" x14ac:dyDescent="0.2">
      <c r="A103" s="111"/>
      <c r="B103" s="42" t="s">
        <v>88</v>
      </c>
      <c r="C103" s="108" t="s">
        <v>84</v>
      </c>
      <c r="D103" s="100"/>
      <c r="E103" s="101"/>
      <c r="F103" s="101" t="str">
        <f t="shared" si="5"/>
        <v/>
      </c>
    </row>
    <row r="104" spans="1:12" ht="18.75" x14ac:dyDescent="0.2">
      <c r="A104" s="112"/>
      <c r="B104" s="43" t="s">
        <v>89</v>
      </c>
      <c r="C104" s="109" t="s">
        <v>84</v>
      </c>
      <c r="D104" s="104"/>
      <c r="E104" s="105"/>
      <c r="F104" s="105" t="str">
        <f t="shared" si="5"/>
        <v/>
      </c>
    </row>
    <row r="105" spans="1:12" ht="18.75" x14ac:dyDescent="0.2">
      <c r="A105" s="110"/>
      <c r="B105" s="106" t="s">
        <v>53</v>
      </c>
      <c r="C105" s="107" t="s">
        <v>85</v>
      </c>
      <c r="D105" s="96"/>
      <c r="E105" s="97"/>
      <c r="F105" s="97" t="str">
        <f t="shared" si="5"/>
        <v/>
      </c>
    </row>
    <row r="106" spans="1:12" ht="18.75" x14ac:dyDescent="0.2">
      <c r="A106" s="111"/>
      <c r="B106" s="42" t="s">
        <v>88</v>
      </c>
      <c r="C106" s="108" t="s">
        <v>85</v>
      </c>
      <c r="D106" s="100"/>
      <c r="E106" s="101"/>
      <c r="F106" s="101" t="str">
        <f t="shared" si="5"/>
        <v/>
      </c>
    </row>
    <row r="107" spans="1:12" ht="18.75" x14ac:dyDescent="0.2">
      <c r="A107" s="112"/>
      <c r="B107" s="43" t="s">
        <v>89</v>
      </c>
      <c r="C107" s="109" t="s">
        <v>85</v>
      </c>
      <c r="D107" s="104"/>
      <c r="E107" s="105"/>
      <c r="F107" s="105" t="str">
        <f t="shared" si="5"/>
        <v/>
      </c>
    </row>
    <row r="108" spans="1:12" ht="18.75" x14ac:dyDescent="0.2">
      <c r="A108" s="110"/>
      <c r="B108" s="94" t="s">
        <v>46</v>
      </c>
      <c r="C108" s="107" t="s">
        <v>85</v>
      </c>
      <c r="D108" s="96"/>
      <c r="E108" s="97"/>
      <c r="F108" s="97" t="str">
        <f t="shared" si="5"/>
        <v/>
      </c>
    </row>
    <row r="109" spans="1:12" ht="18.75" x14ac:dyDescent="0.2">
      <c r="A109" s="111"/>
      <c r="B109" s="42" t="s">
        <v>88</v>
      </c>
      <c r="C109" s="108" t="s">
        <v>85</v>
      </c>
      <c r="D109" s="100"/>
      <c r="E109" s="101"/>
      <c r="F109" s="101" t="str">
        <f t="shared" si="5"/>
        <v/>
      </c>
    </row>
    <row r="110" spans="1:12" ht="18.75" x14ac:dyDescent="0.2">
      <c r="A110" s="112"/>
      <c r="B110" s="43" t="s">
        <v>89</v>
      </c>
      <c r="C110" s="109" t="s">
        <v>85</v>
      </c>
      <c r="D110" s="104"/>
      <c r="E110" s="105"/>
      <c r="F110" s="105" t="str">
        <f t="shared" si="5"/>
        <v/>
      </c>
    </row>
    <row r="111" spans="1:12" ht="39" customHeight="1" x14ac:dyDescent="0.2">
      <c r="A111" s="84" t="s">
        <v>35</v>
      </c>
      <c r="B111" s="81" t="s">
        <v>157</v>
      </c>
      <c r="C111" s="81" t="s">
        <v>18</v>
      </c>
      <c r="D111" s="82">
        <f>'[1]Прил. 6 (кальк)'!D113</f>
        <v>0</v>
      </c>
      <c r="E111" s="82">
        <f>'[1]Прил. 6 (кальк)'!E113</f>
        <v>0</v>
      </c>
      <c r="F111" s="85" t="str">
        <f t="shared" si="5"/>
        <v/>
      </c>
      <c r="L111" s="245">
        <f>'[1]Прил. 6 (кальк)'!$D$113</f>
        <v>0</v>
      </c>
    </row>
    <row r="112" spans="1:12" ht="37.5" x14ac:dyDescent="0.2">
      <c r="A112" s="80"/>
      <c r="B112" s="86" t="s">
        <v>275</v>
      </c>
      <c r="C112" s="87"/>
      <c r="D112" s="88"/>
      <c r="E112" s="83"/>
      <c r="F112" s="83" t="str">
        <f t="shared" ref="F112" si="6">IF(ISERROR(D112/E112),"",D112/E112)</f>
        <v/>
      </c>
    </row>
    <row r="113" spans="1:12" ht="37.5" x14ac:dyDescent="0.2">
      <c r="A113" s="80"/>
      <c r="B113" s="86" t="s">
        <v>208</v>
      </c>
      <c r="C113" s="87"/>
      <c r="D113" s="88"/>
      <c r="E113" s="83"/>
      <c r="F113" s="83" t="str">
        <f t="shared" si="5"/>
        <v/>
      </c>
    </row>
    <row r="114" spans="1:12" ht="18.75" x14ac:dyDescent="0.2">
      <c r="A114" s="80"/>
      <c r="B114" s="89" t="s">
        <v>50</v>
      </c>
      <c r="C114" s="87">
        <v>0.4</v>
      </c>
      <c r="D114" s="88"/>
      <c r="E114" s="83"/>
      <c r="F114" s="83" t="str">
        <f t="shared" si="5"/>
        <v/>
      </c>
    </row>
    <row r="115" spans="1:12" ht="18.75" x14ac:dyDescent="0.2">
      <c r="A115" s="80"/>
      <c r="B115" s="89" t="s">
        <v>51</v>
      </c>
      <c r="C115" s="90" t="s">
        <v>15</v>
      </c>
      <c r="D115" s="88"/>
      <c r="E115" s="83"/>
      <c r="F115" s="83" t="str">
        <f t="shared" si="5"/>
        <v/>
      </c>
    </row>
    <row r="116" spans="1:12" ht="21.75" customHeight="1" x14ac:dyDescent="0.2">
      <c r="A116" s="80"/>
      <c r="B116" s="89" t="s">
        <v>52</v>
      </c>
      <c r="C116" s="87">
        <v>0.4</v>
      </c>
      <c r="D116" s="88"/>
      <c r="E116" s="83"/>
      <c r="F116" s="83" t="str">
        <f t="shared" si="5"/>
        <v/>
      </c>
    </row>
    <row r="117" spans="1:12" ht="26.25" customHeight="1" x14ac:dyDescent="0.2">
      <c r="A117" s="80"/>
      <c r="B117" s="89" t="s">
        <v>53</v>
      </c>
      <c r="C117" s="90" t="s">
        <v>15</v>
      </c>
      <c r="D117" s="88"/>
      <c r="E117" s="83"/>
      <c r="F117" s="83" t="str">
        <f t="shared" si="5"/>
        <v/>
      </c>
    </row>
    <row r="118" spans="1:12" ht="28.5" customHeight="1" x14ac:dyDescent="0.2">
      <c r="A118" s="91"/>
      <c r="B118" s="86" t="s">
        <v>46</v>
      </c>
      <c r="C118" s="90" t="s">
        <v>15</v>
      </c>
      <c r="D118" s="88"/>
      <c r="E118" s="83"/>
      <c r="F118" s="83" t="str">
        <f t="shared" si="5"/>
        <v/>
      </c>
    </row>
    <row r="119" spans="1:12" ht="30" customHeight="1" x14ac:dyDescent="0.2">
      <c r="A119" s="91"/>
      <c r="B119" s="89" t="s">
        <v>53</v>
      </c>
      <c r="C119" s="90" t="s">
        <v>84</v>
      </c>
      <c r="D119" s="88"/>
      <c r="E119" s="83"/>
      <c r="F119" s="83" t="str">
        <f t="shared" si="5"/>
        <v/>
      </c>
    </row>
    <row r="120" spans="1:12" ht="28.5" customHeight="1" x14ac:dyDescent="0.2">
      <c r="A120" s="91"/>
      <c r="B120" s="86" t="s">
        <v>46</v>
      </c>
      <c r="C120" s="90" t="s">
        <v>84</v>
      </c>
      <c r="D120" s="88"/>
      <c r="E120" s="83"/>
      <c r="F120" s="83" t="str">
        <f t="shared" si="5"/>
        <v/>
      </c>
    </row>
    <row r="121" spans="1:12" ht="28.5" customHeight="1" x14ac:dyDescent="0.2">
      <c r="A121" s="91"/>
      <c r="B121" s="89" t="s">
        <v>53</v>
      </c>
      <c r="C121" s="90" t="s">
        <v>85</v>
      </c>
      <c r="D121" s="88"/>
      <c r="E121" s="83"/>
      <c r="F121" s="83" t="str">
        <f t="shared" si="5"/>
        <v/>
      </c>
    </row>
    <row r="122" spans="1:12" ht="28.5" customHeight="1" x14ac:dyDescent="0.2">
      <c r="A122" s="91"/>
      <c r="B122" s="86" t="s">
        <v>46</v>
      </c>
      <c r="C122" s="90" t="s">
        <v>85</v>
      </c>
      <c r="D122" s="88"/>
      <c r="E122" s="83"/>
      <c r="F122" s="83" t="str">
        <f t="shared" si="5"/>
        <v/>
      </c>
    </row>
    <row r="123" spans="1:12" ht="75" x14ac:dyDescent="0.2">
      <c r="A123" s="84" t="s">
        <v>36</v>
      </c>
      <c r="B123" s="81" t="s">
        <v>190</v>
      </c>
      <c r="C123" s="81" t="s">
        <v>18</v>
      </c>
      <c r="D123" s="82">
        <f>SUM(D124:D136)</f>
        <v>11537618.029516462</v>
      </c>
      <c r="E123" s="82">
        <f>SUM(E124:E136)</f>
        <v>200.18333333333334</v>
      </c>
      <c r="F123" s="82">
        <f t="shared" si="5"/>
        <v>57635.257827906731</v>
      </c>
      <c r="L123" s="245">
        <f>'[1]Прил. 6 (кальк)'!$D$126</f>
        <v>11537618.029516462</v>
      </c>
    </row>
    <row r="124" spans="1:12" ht="37.5" x14ac:dyDescent="0.2">
      <c r="A124" s="80"/>
      <c r="B124" s="86" t="s">
        <v>275</v>
      </c>
      <c r="C124" s="87">
        <v>0.4</v>
      </c>
      <c r="D124" s="88">
        <f>'[1]Прил. 6 (кальк)'!D128</f>
        <v>0</v>
      </c>
      <c r="E124" s="88">
        <f>'[1]Прил. 6 (кальк)'!E128</f>
        <v>0</v>
      </c>
      <c r="F124" s="83" t="str">
        <f>IF(ISERROR(D124/E124),"",D124/E124)</f>
        <v/>
      </c>
    </row>
    <row r="125" spans="1:12" ht="37.5" x14ac:dyDescent="0.2">
      <c r="A125" s="80"/>
      <c r="B125" s="86" t="s">
        <v>275</v>
      </c>
      <c r="C125" s="90" t="s">
        <v>15</v>
      </c>
      <c r="D125" s="88">
        <f>'[1]Прил. 6 (кальк)'!D127</f>
        <v>1100860.668563643</v>
      </c>
      <c r="E125" s="88">
        <f>'[1]Прил. 6 (кальк)'!E127</f>
        <v>30</v>
      </c>
      <c r="F125" s="83">
        <f>IF(ISERROR(D125/E125),"",D125/E125)</f>
        <v>36695.355618788097</v>
      </c>
    </row>
    <row r="126" spans="1:12" ht="37.5" x14ac:dyDescent="0.2">
      <c r="A126" s="80"/>
      <c r="B126" s="86" t="s">
        <v>208</v>
      </c>
      <c r="C126" s="87">
        <v>0.4</v>
      </c>
      <c r="D126" s="88">
        <f>'[1]Прил. 6 (кальк)'!D128</f>
        <v>0</v>
      </c>
      <c r="E126" s="88">
        <f>'[1]Прил. 6 (кальк)'!E128</f>
        <v>0</v>
      </c>
      <c r="F126" s="83" t="str">
        <f>IF(ISERROR(D126/E126),"",D126/E126)</f>
        <v/>
      </c>
    </row>
    <row r="127" spans="1:12" ht="37.5" x14ac:dyDescent="0.2">
      <c r="A127" s="80"/>
      <c r="B127" s="86" t="s">
        <v>208</v>
      </c>
      <c r="C127" s="90" t="s">
        <v>15</v>
      </c>
      <c r="D127" s="88">
        <f>'[1]Прил. 6 (кальк)'!D129</f>
        <v>3953514.6288000257</v>
      </c>
      <c r="E127" s="88">
        <f>'[1]Прил. 6 (кальк)'!E129</f>
        <v>68.333333333333329</v>
      </c>
      <c r="F127" s="83">
        <f t="shared" si="5"/>
        <v>57856.31164097599</v>
      </c>
    </row>
    <row r="128" spans="1:12" ht="32.25" customHeight="1" x14ac:dyDescent="0.2">
      <c r="A128" s="80"/>
      <c r="B128" s="89" t="s">
        <v>50</v>
      </c>
      <c r="C128" s="87">
        <v>0.4</v>
      </c>
      <c r="D128" s="88">
        <f>'[1]Прил. 6 (кальк)'!D135</f>
        <v>0</v>
      </c>
      <c r="E128" s="88">
        <f>'[1]Прил. 6 (кальк)'!E135</f>
        <v>0</v>
      </c>
      <c r="F128" s="83" t="str">
        <f t="shared" si="5"/>
        <v/>
      </c>
    </row>
    <row r="129" spans="1:6" ht="33" customHeight="1" x14ac:dyDescent="0.2">
      <c r="A129" s="80"/>
      <c r="B129" s="89" t="s">
        <v>51</v>
      </c>
      <c r="C129" s="90" t="s">
        <v>15</v>
      </c>
      <c r="D129" s="88">
        <f>'[1]Прил. 6 (кальк)'!D138</f>
        <v>6483242.7321527926</v>
      </c>
      <c r="E129" s="88">
        <f>'[1]Прил. 6 (кальк)'!E138</f>
        <v>101.85</v>
      </c>
      <c r="F129" s="83">
        <f t="shared" si="5"/>
        <v>63654.813275923349</v>
      </c>
    </row>
    <row r="130" spans="1:6" ht="30" customHeight="1" x14ac:dyDescent="0.2">
      <c r="A130" s="80"/>
      <c r="B130" s="89" t="s">
        <v>52</v>
      </c>
      <c r="C130" s="87">
        <v>0.4</v>
      </c>
      <c r="D130" s="88">
        <f>'[1]Прил. 6 (кальк)'!D143</f>
        <v>0</v>
      </c>
      <c r="E130" s="88">
        <f>'[1]Прил. 6 (кальк)'!E143</f>
        <v>0</v>
      </c>
      <c r="F130" s="83" t="str">
        <f t="shared" si="5"/>
        <v/>
      </c>
    </row>
    <row r="131" spans="1:6" ht="27.75" customHeight="1" x14ac:dyDescent="0.2">
      <c r="A131" s="80"/>
      <c r="B131" s="89" t="s">
        <v>53</v>
      </c>
      <c r="C131" s="90" t="s">
        <v>15</v>
      </c>
      <c r="D131" s="88">
        <f>'[1]Прил. 6 (кальк)'!D145</f>
        <v>0</v>
      </c>
      <c r="E131" s="88">
        <f>'[1]Прил. 6 (кальк)'!E145</f>
        <v>0</v>
      </c>
      <c r="F131" s="83" t="str">
        <f t="shared" si="5"/>
        <v/>
      </c>
    </row>
    <row r="132" spans="1:6" ht="33" customHeight="1" x14ac:dyDescent="0.2">
      <c r="A132" s="91"/>
      <c r="B132" s="86" t="s">
        <v>46</v>
      </c>
      <c r="C132" s="90" t="s">
        <v>15</v>
      </c>
      <c r="D132" s="88">
        <f>'[1]Прил. 6 (кальк)'!D146</f>
        <v>0</v>
      </c>
      <c r="E132" s="88">
        <f>'[1]Прил. 6 (кальк)'!E146</f>
        <v>0</v>
      </c>
      <c r="F132" s="83" t="str">
        <f t="shared" si="5"/>
        <v/>
      </c>
    </row>
    <row r="133" spans="1:6" ht="33" customHeight="1" x14ac:dyDescent="0.2">
      <c r="A133" s="91"/>
      <c r="B133" s="89" t="s">
        <v>53</v>
      </c>
      <c r="C133" s="90" t="s">
        <v>84</v>
      </c>
      <c r="D133" s="88">
        <f>'[1]Прил. 6 (кальк)'!D147</f>
        <v>0</v>
      </c>
      <c r="E133" s="88">
        <f>'[1]Прил. 6 (кальк)'!E147</f>
        <v>0</v>
      </c>
      <c r="F133" s="83" t="str">
        <f t="shared" si="5"/>
        <v/>
      </c>
    </row>
    <row r="134" spans="1:6" ht="33" customHeight="1" x14ac:dyDescent="0.2">
      <c r="A134" s="91"/>
      <c r="B134" s="86" t="s">
        <v>46</v>
      </c>
      <c r="C134" s="90" t="s">
        <v>84</v>
      </c>
      <c r="D134" s="88">
        <f>'[1]Прил. 6 (кальк)'!D148</f>
        <v>0</v>
      </c>
      <c r="E134" s="88">
        <f>'[1]Прил. 6 (кальк)'!E148</f>
        <v>0</v>
      </c>
      <c r="F134" s="83" t="str">
        <f t="shared" si="5"/>
        <v/>
      </c>
    </row>
    <row r="135" spans="1:6" ht="33" customHeight="1" x14ac:dyDescent="0.2">
      <c r="A135" s="91"/>
      <c r="B135" s="89" t="s">
        <v>53</v>
      </c>
      <c r="C135" s="90" t="s">
        <v>85</v>
      </c>
      <c r="D135" s="88">
        <f>'[1]Прил. 6 (кальк)'!D149</f>
        <v>0</v>
      </c>
      <c r="E135" s="88">
        <f>'[1]Прил. 6 (кальк)'!E149</f>
        <v>0</v>
      </c>
      <c r="F135" s="83" t="str">
        <f t="shared" si="5"/>
        <v/>
      </c>
    </row>
    <row r="136" spans="1:6" ht="33" customHeight="1" x14ac:dyDescent="0.2">
      <c r="A136" s="91"/>
      <c r="B136" s="86" t="s">
        <v>46</v>
      </c>
      <c r="C136" s="90" t="s">
        <v>85</v>
      </c>
      <c r="D136" s="88">
        <f>'[1]Прил. 6 (кальк)'!D150</f>
        <v>0</v>
      </c>
      <c r="E136" s="88">
        <f>'[1]Прил. 6 (кальк)'!E150</f>
        <v>0</v>
      </c>
      <c r="F136" s="83" t="str">
        <f t="shared" si="5"/>
        <v/>
      </c>
    </row>
    <row r="137" spans="1:6" ht="37.5" x14ac:dyDescent="0.2">
      <c r="A137" s="84" t="s">
        <v>16</v>
      </c>
      <c r="B137" s="81" t="s">
        <v>191</v>
      </c>
      <c r="C137" s="81" t="s">
        <v>18</v>
      </c>
      <c r="D137" s="82">
        <f>'[1]Прил. 6 (кальк)'!D151</f>
        <v>0</v>
      </c>
      <c r="E137" s="82">
        <f>'[1]Прил. 6 (кальк)'!E151</f>
        <v>0</v>
      </c>
      <c r="F137" s="82" t="str">
        <f t="shared" si="5"/>
        <v/>
      </c>
    </row>
    <row r="138" spans="1:6" ht="37.5" x14ac:dyDescent="0.2">
      <c r="A138" s="80"/>
      <c r="B138" s="86" t="s">
        <v>208</v>
      </c>
      <c r="C138" s="87"/>
      <c r="D138" s="88"/>
      <c r="E138" s="83"/>
      <c r="F138" s="83" t="str">
        <f t="shared" si="5"/>
        <v/>
      </c>
    </row>
    <row r="139" spans="1:6" ht="30" customHeight="1" x14ac:dyDescent="0.2">
      <c r="A139" s="80"/>
      <c r="B139" s="89" t="s">
        <v>50</v>
      </c>
      <c r="C139" s="87">
        <v>0.4</v>
      </c>
      <c r="D139" s="88"/>
      <c r="E139" s="83"/>
      <c r="F139" s="83" t="str">
        <f t="shared" si="5"/>
        <v/>
      </c>
    </row>
    <row r="140" spans="1:6" ht="27" customHeight="1" x14ac:dyDescent="0.2">
      <c r="A140" s="80"/>
      <c r="B140" s="89" t="s">
        <v>51</v>
      </c>
      <c r="C140" s="90" t="s">
        <v>15</v>
      </c>
      <c r="D140" s="88"/>
      <c r="E140" s="83"/>
      <c r="F140" s="83" t="str">
        <f t="shared" si="5"/>
        <v/>
      </c>
    </row>
    <row r="141" spans="1:6" ht="39" customHeight="1" x14ac:dyDescent="0.2">
      <c r="A141" s="80"/>
      <c r="B141" s="89" t="s">
        <v>52</v>
      </c>
      <c r="C141" s="87">
        <v>0.4</v>
      </c>
      <c r="D141" s="88"/>
      <c r="E141" s="83"/>
      <c r="F141" s="83" t="str">
        <f t="shared" si="5"/>
        <v/>
      </c>
    </row>
    <row r="142" spans="1:6" ht="36" customHeight="1" x14ac:dyDescent="0.2">
      <c r="A142" s="80"/>
      <c r="B142" s="89" t="s">
        <v>53</v>
      </c>
      <c r="C142" s="90" t="s">
        <v>15</v>
      </c>
      <c r="D142" s="88"/>
      <c r="E142" s="83"/>
      <c r="F142" s="83" t="str">
        <f t="shared" si="5"/>
        <v/>
      </c>
    </row>
    <row r="143" spans="1:6" ht="36" customHeight="1" x14ac:dyDescent="0.2">
      <c r="A143" s="91"/>
      <c r="B143" s="86" t="s">
        <v>46</v>
      </c>
      <c r="C143" s="90" t="s">
        <v>15</v>
      </c>
      <c r="D143" s="88"/>
      <c r="E143" s="83"/>
      <c r="F143" s="83" t="str">
        <f t="shared" si="5"/>
        <v/>
      </c>
    </row>
    <row r="144" spans="1:6" ht="36" customHeight="1" x14ac:dyDescent="0.2">
      <c r="A144" s="91"/>
      <c r="B144" s="89" t="s">
        <v>53</v>
      </c>
      <c r="C144" s="90" t="s">
        <v>84</v>
      </c>
      <c r="D144" s="88"/>
      <c r="E144" s="83"/>
      <c r="F144" s="83" t="str">
        <f t="shared" si="5"/>
        <v/>
      </c>
    </row>
    <row r="145" spans="1:12" ht="36" customHeight="1" x14ac:dyDescent="0.2">
      <c r="A145" s="91"/>
      <c r="B145" s="86" t="s">
        <v>46</v>
      </c>
      <c r="C145" s="90" t="s">
        <v>84</v>
      </c>
      <c r="D145" s="88"/>
      <c r="E145" s="83"/>
      <c r="F145" s="83" t="str">
        <f t="shared" si="5"/>
        <v/>
      </c>
    </row>
    <row r="146" spans="1:12" ht="36" customHeight="1" x14ac:dyDescent="0.2">
      <c r="A146" s="91"/>
      <c r="B146" s="89" t="s">
        <v>53</v>
      </c>
      <c r="C146" s="90" t="s">
        <v>85</v>
      </c>
      <c r="D146" s="88"/>
      <c r="E146" s="83"/>
      <c r="F146" s="83" t="str">
        <f t="shared" si="5"/>
        <v/>
      </c>
    </row>
    <row r="147" spans="1:12" ht="36" customHeight="1" x14ac:dyDescent="0.2">
      <c r="A147" s="91"/>
      <c r="B147" s="86" t="s">
        <v>46</v>
      </c>
      <c r="C147" s="90" t="s">
        <v>85</v>
      </c>
      <c r="D147" s="88"/>
      <c r="E147" s="83"/>
      <c r="F147" s="83" t="str">
        <f t="shared" si="5"/>
        <v/>
      </c>
    </row>
    <row r="148" spans="1:12" ht="38.25" customHeight="1" x14ac:dyDescent="0.2">
      <c r="A148" s="84">
        <v>4</v>
      </c>
      <c r="B148" s="81" t="s">
        <v>192</v>
      </c>
      <c r="C148" s="81"/>
      <c r="D148" s="82">
        <f>SUM(D149,D161)</f>
        <v>10924374.227937886</v>
      </c>
      <c r="E148" s="82">
        <f>SUM(E149,E161)</f>
        <v>11515.07</v>
      </c>
      <c r="F148" s="85">
        <f t="shared" si="5"/>
        <v>948.70237245087412</v>
      </c>
      <c r="L148" s="245">
        <f>'[1]Прил. 6 (кальк)'!$D$162</f>
        <v>10924374.227937886</v>
      </c>
    </row>
    <row r="149" spans="1:12" ht="18.75" x14ac:dyDescent="0.2">
      <c r="A149" s="84"/>
      <c r="B149" s="81" t="s">
        <v>115</v>
      </c>
      <c r="C149" s="81"/>
      <c r="D149" s="82">
        <f>SUM(D150:D160)</f>
        <v>10924374.227937886</v>
      </c>
      <c r="E149" s="82">
        <f>SUM(E150:E160)</f>
        <v>11515.07</v>
      </c>
      <c r="F149" s="85">
        <f t="shared" si="5"/>
        <v>948.70237245087412</v>
      </c>
    </row>
    <row r="150" spans="1:12" ht="39" customHeight="1" x14ac:dyDescent="0.2">
      <c r="A150" s="91"/>
      <c r="B150" s="86" t="s">
        <v>275</v>
      </c>
      <c r="C150" s="87"/>
      <c r="D150" s="88">
        <f>'[1]Прил. 6 (кальк)'!$D$163</f>
        <v>8714842.9013492148</v>
      </c>
      <c r="E150" s="88">
        <f>'[1]Прил. 6 (кальк)'!E163</f>
        <v>2610.62</v>
      </c>
      <c r="F150" s="83">
        <f t="shared" ref="F150" si="7">IF(ISERROR(D150/E150),"",D150/E150)</f>
        <v>3338.2272798604222</v>
      </c>
    </row>
    <row r="151" spans="1:12" ht="39" customHeight="1" x14ac:dyDescent="0.2">
      <c r="A151" s="91"/>
      <c r="B151" s="86" t="s">
        <v>208</v>
      </c>
      <c r="C151" s="87"/>
      <c r="D151" s="88">
        <f>'[1]Прил. 6 (кальк)'!D164</f>
        <v>618348.05508464389</v>
      </c>
      <c r="E151" s="88">
        <f>'[1]Прил. 6 (кальк)'!E164</f>
        <v>157</v>
      </c>
      <c r="F151" s="83">
        <f t="shared" si="5"/>
        <v>3938.522643851235</v>
      </c>
    </row>
    <row r="152" spans="1:12" ht="38.25" customHeight="1" x14ac:dyDescent="0.2">
      <c r="A152" s="91"/>
      <c r="B152" s="89" t="s">
        <v>50</v>
      </c>
      <c r="C152" s="87">
        <v>0.4</v>
      </c>
      <c r="D152" s="88">
        <f>'[1]Прил. 6 (кальк)'!D165</f>
        <v>823447.89205388934</v>
      </c>
      <c r="E152" s="88">
        <f>'[1]Прил. 6 (кальк)'!E165</f>
        <v>1525.45</v>
      </c>
      <c r="F152" s="83">
        <f t="shared" si="5"/>
        <v>539.80654367818636</v>
      </c>
    </row>
    <row r="153" spans="1:12" ht="36" customHeight="1" x14ac:dyDescent="0.2">
      <c r="A153" s="91"/>
      <c r="B153" s="89" t="s">
        <v>51</v>
      </c>
      <c r="C153" s="90" t="s">
        <v>15</v>
      </c>
      <c r="D153" s="88">
        <f>'[1]Прил. 6 (кальк)'!D166</f>
        <v>542661.30799667817</v>
      </c>
      <c r="E153" s="88">
        <f>'[1]Прил. 6 (кальк)'!E166</f>
        <v>1322</v>
      </c>
      <c r="F153" s="83">
        <f t="shared" si="5"/>
        <v>410.48510438477922</v>
      </c>
    </row>
    <row r="154" spans="1:12" ht="36.75" customHeight="1" x14ac:dyDescent="0.2">
      <c r="A154" s="91"/>
      <c r="B154" s="89" t="s">
        <v>52</v>
      </c>
      <c r="C154" s="87">
        <v>0.4</v>
      </c>
      <c r="D154" s="88">
        <f>'[1]Прил. 6 (кальк)'!D167</f>
        <v>82642.564024849533</v>
      </c>
      <c r="E154" s="88">
        <f>'[1]Прил. 6 (кальк)'!E167</f>
        <v>800</v>
      </c>
      <c r="F154" s="83">
        <f t="shared" ref="F154:F188" si="8">IF(ISERROR(D154/E154),"",D154/E154)</f>
        <v>103.30320503106192</v>
      </c>
    </row>
    <row r="155" spans="1:12" ht="36" customHeight="1" x14ac:dyDescent="0.2">
      <c r="A155" s="91"/>
      <c r="B155" s="89" t="s">
        <v>53</v>
      </c>
      <c r="C155" s="90" t="s">
        <v>15</v>
      </c>
      <c r="D155" s="88">
        <f>'[1]Прил. 6 (кальк)'!D168</f>
        <v>86861.51928266199</v>
      </c>
      <c r="E155" s="88">
        <f>'[1]Прил. 6 (кальк)'!E168</f>
        <v>1800</v>
      </c>
      <c r="F155" s="83">
        <f t="shared" si="8"/>
        <v>48.256399601478883</v>
      </c>
    </row>
    <row r="156" spans="1:12" ht="37.5" customHeight="1" x14ac:dyDescent="0.2">
      <c r="A156" s="91"/>
      <c r="B156" s="86" t="s">
        <v>46</v>
      </c>
      <c r="C156" s="90" t="s">
        <v>15</v>
      </c>
      <c r="D156" s="88">
        <f>'[1]Прил. 6 (кальк)'!D169</f>
        <v>0</v>
      </c>
      <c r="E156" s="88">
        <f>'[1]Прил. 6 (кальк)'!E169</f>
        <v>0</v>
      </c>
      <c r="F156" s="83" t="str">
        <f t="shared" si="8"/>
        <v/>
      </c>
    </row>
    <row r="157" spans="1:12" ht="37.5" customHeight="1" x14ac:dyDescent="0.2">
      <c r="A157" s="91"/>
      <c r="B157" s="89" t="s">
        <v>53</v>
      </c>
      <c r="C157" s="90" t="s">
        <v>84</v>
      </c>
      <c r="D157" s="88">
        <f>'[1]Прил. 6 (кальк)'!D170</f>
        <v>0</v>
      </c>
      <c r="E157" s="88">
        <f>'[1]Прил. 6 (кальк)'!E170</f>
        <v>0</v>
      </c>
      <c r="F157" s="83" t="str">
        <f t="shared" si="8"/>
        <v/>
      </c>
    </row>
    <row r="158" spans="1:12" ht="37.5" customHeight="1" x14ac:dyDescent="0.2">
      <c r="A158" s="91"/>
      <c r="B158" s="86" t="s">
        <v>46</v>
      </c>
      <c r="C158" s="90" t="s">
        <v>84</v>
      </c>
      <c r="D158" s="88">
        <f>'[1]Прил. 6 (кальк)'!D171</f>
        <v>55569.988145950854</v>
      </c>
      <c r="E158" s="88">
        <f>'[1]Прил. 6 (кальк)'!E171</f>
        <v>3300</v>
      </c>
      <c r="F158" s="83">
        <f t="shared" si="8"/>
        <v>16.839390347257833</v>
      </c>
    </row>
    <row r="159" spans="1:12" ht="37.5" customHeight="1" x14ac:dyDescent="0.2">
      <c r="A159" s="91"/>
      <c r="B159" s="89" t="s">
        <v>53</v>
      </c>
      <c r="C159" s="90" t="s">
        <v>85</v>
      </c>
      <c r="D159" s="88">
        <f>'[1]Прил. 6 (кальк)'!D172</f>
        <v>0</v>
      </c>
      <c r="E159" s="88">
        <f>'[1]Прил. 6 (кальк)'!E172</f>
        <v>0</v>
      </c>
      <c r="F159" s="83" t="str">
        <f t="shared" si="8"/>
        <v/>
      </c>
    </row>
    <row r="160" spans="1:12" ht="37.5" customHeight="1" x14ac:dyDescent="0.2">
      <c r="A160" s="91"/>
      <c r="B160" s="86" t="s">
        <v>46</v>
      </c>
      <c r="C160" s="90" t="s">
        <v>85</v>
      </c>
      <c r="D160" s="88">
        <f>'[1]Прил. 6 (кальк)'!D173</f>
        <v>0</v>
      </c>
      <c r="E160" s="88">
        <f>'[1]Прил. 6 (кальк)'!E173</f>
        <v>0</v>
      </c>
      <c r="F160" s="83" t="str">
        <f t="shared" si="8"/>
        <v/>
      </c>
    </row>
    <row r="161" spans="1:12" ht="18.75" x14ac:dyDescent="0.2">
      <c r="A161" s="84"/>
      <c r="B161" s="81" t="s">
        <v>210</v>
      </c>
      <c r="C161" s="81"/>
      <c r="D161" s="82">
        <f>SUM(D162)</f>
        <v>0</v>
      </c>
      <c r="E161" s="82">
        <f>SUM(E162)</f>
        <v>0</v>
      </c>
      <c r="F161" s="85" t="str">
        <f t="shared" si="8"/>
        <v/>
      </c>
    </row>
    <row r="162" spans="1:12" ht="18.75" x14ac:dyDescent="0.2">
      <c r="A162" s="84"/>
      <c r="B162" s="81" t="s">
        <v>211</v>
      </c>
      <c r="C162" s="81"/>
      <c r="D162" s="82"/>
      <c r="E162" s="82"/>
      <c r="F162" s="85" t="str">
        <f t="shared" si="8"/>
        <v/>
      </c>
    </row>
    <row r="163" spans="1:12" ht="78.75" customHeight="1" x14ac:dyDescent="0.2">
      <c r="A163" s="84">
        <v>5</v>
      </c>
      <c r="B163" s="81" t="s">
        <v>193</v>
      </c>
      <c r="C163" s="81"/>
      <c r="D163" s="82">
        <f>SUM(D164,D172)</f>
        <v>10814.883223720899</v>
      </c>
      <c r="E163" s="82">
        <f>SUM(E164,E172)</f>
        <v>5900</v>
      </c>
      <c r="F163" s="85">
        <f t="shared" si="8"/>
        <v>1.8330310548679489</v>
      </c>
      <c r="L163" s="245">
        <f>'[1]Прил. 6 (кальк)'!$D$174</f>
        <v>10814.883223720899</v>
      </c>
    </row>
    <row r="164" spans="1:12" ht="18.75" x14ac:dyDescent="0.2">
      <c r="A164" s="84"/>
      <c r="B164" s="81" t="s">
        <v>115</v>
      </c>
      <c r="C164" s="81"/>
      <c r="D164" s="82">
        <f>SUM(D165:D171)</f>
        <v>10814.883223720899</v>
      </c>
      <c r="E164" s="82">
        <f>SUM(E165:E171)</f>
        <v>5900</v>
      </c>
      <c r="F164" s="85">
        <f t="shared" si="8"/>
        <v>1.8330310548679489</v>
      </c>
    </row>
    <row r="165" spans="1:12" ht="42" customHeight="1" x14ac:dyDescent="0.2">
      <c r="A165" s="91"/>
      <c r="B165" s="89" t="s">
        <v>54</v>
      </c>
      <c r="C165" s="87">
        <v>0.4</v>
      </c>
      <c r="D165" s="88">
        <f>'[1]Прил. 6 (кальк)'!D175</f>
        <v>0</v>
      </c>
      <c r="E165" s="88">
        <f>'[1]Прил. 6 (кальк)'!E175</f>
        <v>800</v>
      </c>
      <c r="F165" s="83">
        <f t="shared" si="8"/>
        <v>0</v>
      </c>
    </row>
    <row r="166" spans="1:12" ht="38.25" customHeight="1" x14ac:dyDescent="0.2">
      <c r="A166" s="91"/>
      <c r="B166" s="89" t="s">
        <v>55</v>
      </c>
      <c r="C166" s="90" t="s">
        <v>15</v>
      </c>
      <c r="D166" s="88">
        <f>'[1]Прил. 6 (кальк)'!D176</f>
        <v>0</v>
      </c>
      <c r="E166" s="88">
        <f>'[1]Прил. 6 (кальк)'!E176</f>
        <v>1800</v>
      </c>
      <c r="F166" s="83">
        <f t="shared" si="8"/>
        <v>0</v>
      </c>
    </row>
    <row r="167" spans="1:12" ht="35.25" customHeight="1" x14ac:dyDescent="0.2">
      <c r="A167" s="91"/>
      <c r="B167" s="86" t="s">
        <v>47</v>
      </c>
      <c r="C167" s="90" t="s">
        <v>15</v>
      </c>
      <c r="D167" s="88">
        <f>'[1]Прил. 6 (кальк)'!D177</f>
        <v>0</v>
      </c>
      <c r="E167" s="88">
        <f>'[1]Прил. 6 (кальк)'!E177</f>
        <v>0</v>
      </c>
      <c r="F167" s="83" t="str">
        <f t="shared" si="8"/>
        <v/>
      </c>
    </row>
    <row r="168" spans="1:12" ht="35.25" customHeight="1" x14ac:dyDescent="0.2">
      <c r="A168" s="91"/>
      <c r="B168" s="89" t="s">
        <v>53</v>
      </c>
      <c r="C168" s="90" t="s">
        <v>84</v>
      </c>
      <c r="D168" s="88">
        <f>'[1]Прил. 6 (кальк)'!D178</f>
        <v>0</v>
      </c>
      <c r="E168" s="88">
        <f>'[1]Прил. 6 (кальк)'!E178</f>
        <v>0</v>
      </c>
      <c r="F168" s="83" t="str">
        <f t="shared" si="8"/>
        <v/>
      </c>
    </row>
    <row r="169" spans="1:12" ht="35.25" customHeight="1" x14ac:dyDescent="0.2">
      <c r="A169" s="91"/>
      <c r="B169" s="86" t="s">
        <v>46</v>
      </c>
      <c r="C169" s="90" t="s">
        <v>84</v>
      </c>
      <c r="D169" s="88">
        <f>'[1]Прил. 6 (кальк)'!D179</f>
        <v>10814.883223720899</v>
      </c>
      <c r="E169" s="88">
        <f>'[1]Прил. 6 (кальк)'!E179</f>
        <v>3300</v>
      </c>
      <c r="F169" s="83">
        <f t="shared" si="8"/>
        <v>3.2772373405214847</v>
      </c>
    </row>
    <row r="170" spans="1:12" ht="35.25" customHeight="1" x14ac:dyDescent="0.2">
      <c r="A170" s="91"/>
      <c r="B170" s="89" t="s">
        <v>53</v>
      </c>
      <c r="C170" s="90" t="s">
        <v>85</v>
      </c>
      <c r="D170" s="88">
        <f>'[1]Прил. 6 (кальк)'!D180</f>
        <v>0</v>
      </c>
      <c r="E170" s="88">
        <f>'[1]Прил. 6 (кальк)'!E180</f>
        <v>0</v>
      </c>
      <c r="F170" s="83" t="str">
        <f t="shared" si="8"/>
        <v/>
      </c>
    </row>
    <row r="171" spans="1:12" ht="35.25" customHeight="1" x14ac:dyDescent="0.2">
      <c r="A171" s="91"/>
      <c r="B171" s="86" t="s">
        <v>46</v>
      </c>
      <c r="C171" s="90" t="s">
        <v>85</v>
      </c>
      <c r="D171" s="88">
        <f>'[1]Прил. 6 (кальк)'!D181</f>
        <v>0</v>
      </c>
      <c r="E171" s="88">
        <f>'[1]Прил. 6 (кальк)'!E181</f>
        <v>0</v>
      </c>
      <c r="F171" s="83" t="str">
        <f t="shared" si="8"/>
        <v/>
      </c>
    </row>
    <row r="172" spans="1:12" ht="18.75" x14ac:dyDescent="0.2">
      <c r="A172" s="84"/>
      <c r="B172" s="81" t="s">
        <v>210</v>
      </c>
      <c r="C172" s="81"/>
      <c r="D172" s="82">
        <f>SUM(D173)</f>
        <v>0</v>
      </c>
      <c r="E172" s="82">
        <f>SUM(E173)</f>
        <v>0</v>
      </c>
      <c r="F172" s="85" t="str">
        <f t="shared" si="8"/>
        <v/>
      </c>
    </row>
    <row r="173" spans="1:12" ht="18.75" x14ac:dyDescent="0.2">
      <c r="A173" s="84"/>
      <c r="B173" s="81" t="s">
        <v>211</v>
      </c>
      <c r="C173" s="81"/>
      <c r="D173" s="82"/>
      <c r="E173" s="82"/>
      <c r="F173" s="85" t="str">
        <f t="shared" si="8"/>
        <v/>
      </c>
    </row>
    <row r="174" spans="1:12" ht="139.5" customHeight="1" x14ac:dyDescent="0.2">
      <c r="A174" s="84">
        <v>6</v>
      </c>
      <c r="B174" s="81" t="s">
        <v>194</v>
      </c>
      <c r="C174" s="81"/>
      <c r="D174" s="82">
        <f>SUM(D175,D187)</f>
        <v>12599920.404817669</v>
      </c>
      <c r="E174" s="82">
        <f>SUM(E175,E187)</f>
        <v>11515.07</v>
      </c>
      <c r="F174" s="85">
        <f t="shared" si="8"/>
        <v>1094.2113599672141</v>
      </c>
      <c r="L174" s="245">
        <f>'[1]Прил. 6 (кальк)'!$D$182</f>
        <v>12599920.404817669</v>
      </c>
    </row>
    <row r="175" spans="1:12" ht="18.75" x14ac:dyDescent="0.2">
      <c r="A175" s="84"/>
      <c r="B175" s="81" t="s">
        <v>115</v>
      </c>
      <c r="C175" s="81"/>
      <c r="D175" s="82">
        <f>SUM(D176:D186)</f>
        <v>12599920.404817669</v>
      </c>
      <c r="E175" s="82">
        <f>SUM(E176:E186)</f>
        <v>11515.07</v>
      </c>
      <c r="F175" s="83">
        <f t="shared" si="8"/>
        <v>1094.2113599672141</v>
      </c>
    </row>
    <row r="176" spans="1:12" ht="41.25" customHeight="1" x14ac:dyDescent="0.2">
      <c r="A176" s="91"/>
      <c r="B176" s="86" t="s">
        <v>275</v>
      </c>
      <c r="C176" s="86"/>
      <c r="D176" s="88">
        <f>'[1]Прил. 6 (кальк)'!D183</f>
        <v>9669463.4901977945</v>
      </c>
      <c r="E176" s="88">
        <f>'[1]Прил. 6 (кальк)'!E183</f>
        <v>2610.62</v>
      </c>
      <c r="F176" s="83">
        <f t="shared" ref="F176" si="9">IF(ISERROR(D176/E176),"",D176/E176)</f>
        <v>3703.8954310461863</v>
      </c>
    </row>
    <row r="177" spans="1:33" ht="41.25" customHeight="1" x14ac:dyDescent="0.2">
      <c r="A177" s="91"/>
      <c r="B177" s="86" t="s">
        <v>208</v>
      </c>
      <c r="C177" s="86"/>
      <c r="D177" s="88">
        <f>'[1]Прил. 6 (кальк)'!D184</f>
        <v>686081.66671026312</v>
      </c>
      <c r="E177" s="88">
        <f>'[1]Прил. 6 (кальк)'!E184</f>
        <v>157</v>
      </c>
      <c r="F177" s="83">
        <f t="shared" si="8"/>
        <v>4369.9469217214209</v>
      </c>
    </row>
    <row r="178" spans="1:33" ht="28.5" customHeight="1" x14ac:dyDescent="0.2">
      <c r="A178" s="91"/>
      <c r="B178" s="89" t="s">
        <v>50</v>
      </c>
      <c r="C178" s="87">
        <v>0.4</v>
      </c>
      <c r="D178" s="88">
        <f>'[1]Прил. 6 (кальк)'!D185</f>
        <v>1079993.9939970351</v>
      </c>
      <c r="E178" s="88">
        <f>'[1]Прил. 6 (кальк)'!E185</f>
        <v>1525.45</v>
      </c>
      <c r="F178" s="83">
        <f t="shared" si="8"/>
        <v>707.98386967585634</v>
      </c>
    </row>
    <row r="179" spans="1:33" ht="24.75" customHeight="1" x14ac:dyDescent="0.2">
      <c r="A179" s="91"/>
      <c r="B179" s="89" t="s">
        <v>51</v>
      </c>
      <c r="C179" s="90" t="s">
        <v>15</v>
      </c>
      <c r="D179" s="88">
        <f>'[1]Прил. 6 (кальк)'!D186</f>
        <v>879333.99069779052</v>
      </c>
      <c r="E179" s="88">
        <f>'[1]Прил. 6 (кальк)'!E186</f>
        <v>1322</v>
      </c>
      <c r="F179" s="83">
        <f t="shared" si="8"/>
        <v>665.15430461254959</v>
      </c>
    </row>
    <row r="180" spans="1:33" ht="25.5" customHeight="1" x14ac:dyDescent="0.2">
      <c r="A180" s="91"/>
      <c r="B180" s="89" t="s">
        <v>52</v>
      </c>
      <c r="C180" s="87">
        <v>0.4</v>
      </c>
      <c r="D180" s="88">
        <f>'[1]Прил. 6 (кальк)'!D187</f>
        <v>102856.57085686048</v>
      </c>
      <c r="E180" s="88">
        <f>'[1]Прил. 6 (кальк)'!E187</f>
        <v>800</v>
      </c>
      <c r="F180" s="83">
        <f t="shared" si="8"/>
        <v>128.5707135710756</v>
      </c>
    </row>
    <row r="181" spans="1:33" ht="22.5" customHeight="1" x14ac:dyDescent="0.2">
      <c r="A181" s="91"/>
      <c r="B181" s="89" t="s">
        <v>53</v>
      </c>
      <c r="C181" s="90" t="s">
        <v>15</v>
      </c>
      <c r="D181" s="88">
        <f>'[1]Прил. 6 (кальк)'!D188</f>
        <v>144961.31184998268</v>
      </c>
      <c r="E181" s="88">
        <f>'[1]Прил. 6 (кальк)'!E188</f>
        <v>1800</v>
      </c>
      <c r="F181" s="83">
        <f t="shared" si="8"/>
        <v>80.534062138879264</v>
      </c>
    </row>
    <row r="182" spans="1:33" s="9" customFormat="1" ht="26.25" customHeight="1" x14ac:dyDescent="0.2">
      <c r="A182" s="91"/>
      <c r="B182" s="86" t="s">
        <v>46</v>
      </c>
      <c r="C182" s="90" t="s">
        <v>15</v>
      </c>
      <c r="D182" s="88">
        <f>'[1]Прил. 6 (кальк)'!D189</f>
        <v>0</v>
      </c>
      <c r="E182" s="88">
        <f>'[1]Прил. 6 (кальк)'!E189</f>
        <v>0</v>
      </c>
      <c r="F182" s="83" t="str">
        <f t="shared" si="8"/>
        <v/>
      </c>
      <c r="I182" s="246"/>
      <c r="J182" s="246"/>
      <c r="K182" s="245"/>
      <c r="L182" s="245"/>
      <c r="M182" s="245"/>
      <c r="N182" s="245"/>
      <c r="O182" s="245"/>
      <c r="P182" s="245"/>
      <c r="Q182" s="245"/>
      <c r="R182" s="245"/>
      <c r="S182" s="245"/>
      <c r="T182" s="245"/>
      <c r="U182" s="245"/>
      <c r="V182" s="245"/>
      <c r="W182" s="245"/>
      <c r="X182" s="245"/>
      <c r="Y182" s="245"/>
      <c r="Z182" s="245"/>
      <c r="AA182" s="245"/>
      <c r="AB182" s="245"/>
      <c r="AC182" s="245"/>
      <c r="AD182" s="245"/>
      <c r="AE182" s="245"/>
      <c r="AF182" s="245"/>
      <c r="AG182" s="245"/>
    </row>
    <row r="183" spans="1:33" s="9" customFormat="1" ht="27.75" customHeight="1" x14ac:dyDescent="0.2">
      <c r="A183" s="91"/>
      <c r="B183" s="89" t="s">
        <v>53</v>
      </c>
      <c r="C183" s="90" t="s">
        <v>84</v>
      </c>
      <c r="D183" s="88">
        <f>'[1]Прил. 6 (кальк)'!D190</f>
        <v>0</v>
      </c>
      <c r="E183" s="88">
        <f>'[1]Прил. 6 (кальк)'!E190</f>
        <v>0</v>
      </c>
      <c r="F183" s="83" t="str">
        <f t="shared" si="8"/>
        <v/>
      </c>
      <c r="I183" s="246"/>
      <c r="J183" s="246"/>
      <c r="K183" s="245"/>
      <c r="L183" s="245"/>
      <c r="M183" s="245"/>
      <c r="N183" s="245"/>
      <c r="O183" s="245"/>
      <c r="P183" s="245"/>
      <c r="Q183" s="245"/>
      <c r="R183" s="245"/>
      <c r="S183" s="245"/>
      <c r="T183" s="245"/>
      <c r="U183" s="245"/>
      <c r="V183" s="245"/>
      <c r="W183" s="245"/>
      <c r="X183" s="245"/>
      <c r="Y183" s="245"/>
      <c r="Z183" s="245"/>
      <c r="AA183" s="245"/>
      <c r="AB183" s="245"/>
      <c r="AC183" s="245"/>
      <c r="AD183" s="245"/>
      <c r="AE183" s="245"/>
      <c r="AF183" s="245"/>
      <c r="AG183" s="245"/>
    </row>
    <row r="184" spans="1:33" s="9" customFormat="1" ht="26.25" customHeight="1" x14ac:dyDescent="0.2">
      <c r="A184" s="91"/>
      <c r="B184" s="86" t="s">
        <v>46</v>
      </c>
      <c r="C184" s="90" t="s">
        <v>84</v>
      </c>
      <c r="D184" s="88">
        <f>'[1]Прил. 6 (кальк)'!D191</f>
        <v>37229.380507941722</v>
      </c>
      <c r="E184" s="88">
        <f>'[1]Прил. 6 (кальк)'!E191</f>
        <v>3300</v>
      </c>
      <c r="F184" s="83">
        <f t="shared" si="8"/>
        <v>11.281630456952037</v>
      </c>
      <c r="I184" s="246"/>
      <c r="J184" s="246"/>
      <c r="K184" s="245"/>
      <c r="L184" s="245"/>
      <c r="M184" s="245"/>
      <c r="N184" s="245"/>
      <c r="O184" s="245"/>
      <c r="P184" s="245"/>
      <c r="Q184" s="245"/>
      <c r="R184" s="245"/>
      <c r="S184" s="245"/>
      <c r="T184" s="245"/>
      <c r="U184" s="245"/>
      <c r="V184" s="245"/>
      <c r="W184" s="245"/>
      <c r="X184" s="245"/>
      <c r="Y184" s="245"/>
      <c r="Z184" s="245"/>
      <c r="AA184" s="245"/>
      <c r="AB184" s="245"/>
      <c r="AC184" s="245"/>
      <c r="AD184" s="245"/>
      <c r="AE184" s="245"/>
      <c r="AF184" s="245"/>
      <c r="AG184" s="245"/>
    </row>
    <row r="185" spans="1:33" s="9" customFormat="1" ht="26.25" customHeight="1" x14ac:dyDescent="0.2">
      <c r="A185" s="91"/>
      <c r="B185" s="89" t="s">
        <v>53</v>
      </c>
      <c r="C185" s="90" t="s">
        <v>85</v>
      </c>
      <c r="D185" s="88">
        <f>'[1]Прил. 6 (кальк)'!D192</f>
        <v>0</v>
      </c>
      <c r="E185" s="88">
        <f>'[1]Прил. 6 (кальк)'!E192</f>
        <v>0</v>
      </c>
      <c r="F185" s="83" t="str">
        <f t="shared" si="8"/>
        <v/>
      </c>
      <c r="I185" s="246"/>
      <c r="J185" s="246"/>
      <c r="K185" s="245"/>
      <c r="L185" s="245"/>
      <c r="M185" s="245"/>
      <c r="N185" s="245"/>
      <c r="O185" s="245"/>
      <c r="P185" s="245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45"/>
      <c r="AE185" s="245"/>
      <c r="AF185" s="245"/>
      <c r="AG185" s="245"/>
    </row>
    <row r="186" spans="1:33" s="9" customFormat="1" ht="23.25" customHeight="1" x14ac:dyDescent="0.2">
      <c r="A186" s="91"/>
      <c r="B186" s="86" t="s">
        <v>46</v>
      </c>
      <c r="C186" s="90" t="s">
        <v>85</v>
      </c>
      <c r="D186" s="88">
        <f>'[1]Прил. 6 (кальк)'!D193</f>
        <v>0</v>
      </c>
      <c r="E186" s="88">
        <f>'[1]Прил. 6 (кальк)'!E193</f>
        <v>0</v>
      </c>
      <c r="F186" s="83" t="str">
        <f t="shared" si="8"/>
        <v/>
      </c>
      <c r="I186" s="246"/>
      <c r="J186" s="246"/>
      <c r="K186" s="245"/>
      <c r="L186" s="245"/>
      <c r="M186" s="245"/>
      <c r="N186" s="245"/>
      <c r="O186" s="245"/>
      <c r="P186" s="245"/>
      <c r="Q186" s="245"/>
      <c r="R186" s="245"/>
      <c r="S186" s="245"/>
      <c r="T186" s="245"/>
      <c r="U186" s="245"/>
      <c r="V186" s="245"/>
      <c r="W186" s="245"/>
      <c r="X186" s="245"/>
      <c r="Y186" s="245"/>
      <c r="Z186" s="245"/>
      <c r="AA186" s="245"/>
      <c r="AB186" s="245"/>
      <c r="AC186" s="245"/>
      <c r="AD186" s="245"/>
      <c r="AE186" s="245"/>
      <c r="AF186" s="245"/>
      <c r="AG186" s="245"/>
    </row>
    <row r="187" spans="1:33" ht="18.75" x14ac:dyDescent="0.2">
      <c r="A187" s="84"/>
      <c r="B187" s="81" t="s">
        <v>210</v>
      </c>
      <c r="C187" s="81"/>
      <c r="D187" s="82">
        <f>SUM(D188)</f>
        <v>0</v>
      </c>
      <c r="E187" s="82">
        <f>SUM(E188)</f>
        <v>0</v>
      </c>
      <c r="F187" s="85" t="str">
        <f t="shared" si="8"/>
        <v/>
      </c>
    </row>
    <row r="188" spans="1:33" ht="18.75" x14ac:dyDescent="0.2">
      <c r="A188" s="84"/>
      <c r="B188" s="81" t="s">
        <v>211</v>
      </c>
      <c r="C188" s="81"/>
      <c r="D188" s="82"/>
      <c r="E188" s="82"/>
      <c r="F188" s="85" t="str">
        <f t="shared" si="8"/>
        <v/>
      </c>
    </row>
    <row r="189" spans="1:33" ht="18" x14ac:dyDescent="0.25">
      <c r="A189" s="8"/>
      <c r="B189" s="8"/>
      <c r="C189" s="8"/>
      <c r="D189" s="8"/>
      <c r="E189" s="8"/>
      <c r="F189" s="8"/>
    </row>
    <row r="190" spans="1:33" ht="38.25" customHeight="1" x14ac:dyDescent="0.3">
      <c r="A190" s="113" t="s">
        <v>166</v>
      </c>
      <c r="B190" s="307" t="s">
        <v>195</v>
      </c>
      <c r="C190" s="307"/>
      <c r="D190" s="307"/>
      <c r="E190" s="307"/>
      <c r="F190" s="307"/>
    </row>
    <row r="191" spans="1:33" ht="72" customHeight="1" x14ac:dyDescent="0.2">
      <c r="A191" s="113" t="s">
        <v>167</v>
      </c>
      <c r="B191" s="306" t="s">
        <v>209</v>
      </c>
      <c r="C191" s="297"/>
      <c r="D191" s="297"/>
      <c r="E191" s="297"/>
      <c r="F191" s="297"/>
    </row>
    <row r="192" spans="1:33" ht="72.75" customHeight="1" x14ac:dyDescent="0.2">
      <c r="A192" s="113" t="s">
        <v>212</v>
      </c>
      <c r="B192" s="306" t="s">
        <v>224</v>
      </c>
      <c r="C192" s="297"/>
      <c r="D192" s="297"/>
      <c r="E192" s="297"/>
      <c r="F192" s="297"/>
    </row>
  </sheetData>
  <mergeCells count="7">
    <mergeCell ref="B192:F192"/>
    <mergeCell ref="B191:F191"/>
    <mergeCell ref="B190:F190"/>
    <mergeCell ref="D1:F1"/>
    <mergeCell ref="A5:F5"/>
    <mergeCell ref="A6:F6"/>
    <mergeCell ref="F2:F3"/>
  </mergeCells>
  <phoneticPr fontId="8" type="noConversion"/>
  <printOptions horizontalCentered="1"/>
  <pageMargins left="0" right="0" top="0" bottom="0" header="0" footer="0"/>
  <pageSetup paperSize="9" scale="49" fitToHeight="4" orientation="portrait" r:id="rId1"/>
  <headerFooter alignWithMargins="0"/>
  <rowBreaks count="3" manualBreakCount="3">
    <brk id="122" max="5" man="1"/>
    <brk id="162" max="5" man="1"/>
    <brk id="17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G37"/>
  <sheetViews>
    <sheetView view="pageBreakPreview" zoomScale="70" zoomScaleNormal="100" zoomScaleSheetLayoutView="70" workbookViewId="0">
      <pane ySplit="10" topLeftCell="A11" activePane="bottomLeft" state="frozen"/>
      <selection pane="bottomLeft" activeCell="C9" sqref="C9:C10"/>
    </sheetView>
  </sheetViews>
  <sheetFormatPr defaultRowHeight="12.75" x14ac:dyDescent="0.2"/>
  <cols>
    <col min="1" max="1" width="10.7109375" style="7" customWidth="1"/>
    <col min="2" max="2" width="62.42578125" style="7" customWidth="1"/>
    <col min="3" max="3" width="21.42578125" style="7" customWidth="1"/>
    <col min="4" max="4" width="20.28515625" style="9" customWidth="1"/>
    <col min="5" max="5" width="13.28515625" style="9" customWidth="1"/>
    <col min="6" max="6" width="19.28515625" style="7" customWidth="1"/>
    <col min="7" max="7" width="13" style="7" customWidth="1"/>
    <col min="8" max="16384" width="9.140625" style="7"/>
  </cols>
  <sheetData>
    <row r="1" spans="1:7" s="1" customFormat="1" ht="15.75" customHeight="1" x14ac:dyDescent="0.25">
      <c r="A1" s="11"/>
      <c r="B1" s="3"/>
      <c r="C1" s="309" t="s">
        <v>228</v>
      </c>
      <c r="D1" s="309"/>
    </row>
    <row r="2" spans="1:7" s="1" customFormat="1" ht="39" customHeight="1" x14ac:dyDescent="0.25">
      <c r="A2" s="11"/>
      <c r="B2" s="4"/>
      <c r="C2" s="288" t="s">
        <v>98</v>
      </c>
      <c r="D2" s="288"/>
    </row>
    <row r="3" spans="1:7" s="1" customFormat="1" ht="5.25" customHeight="1" x14ac:dyDescent="0.25">
      <c r="A3" s="11"/>
      <c r="B3" s="4"/>
    </row>
    <row r="4" spans="1:7" s="1" customFormat="1" ht="7.5" customHeight="1" x14ac:dyDescent="0.25">
      <c r="A4" s="11"/>
      <c r="B4" s="4"/>
    </row>
    <row r="5" spans="1:7" ht="16.5" customHeight="1" x14ac:dyDescent="0.2">
      <c r="D5" s="7"/>
      <c r="E5" s="7"/>
    </row>
    <row r="6" spans="1:7" ht="90" customHeight="1" x14ac:dyDescent="0.3">
      <c r="A6" s="319" t="s">
        <v>246</v>
      </c>
      <c r="B6" s="319"/>
      <c r="C6" s="319"/>
      <c r="D6" s="319"/>
      <c r="E6" s="12"/>
      <c r="F6" s="12"/>
      <c r="G6" s="12"/>
    </row>
    <row r="7" spans="1:7" s="17" customFormat="1" ht="23.25" customHeight="1" x14ac:dyDescent="0.2">
      <c r="A7" s="312"/>
      <c r="B7" s="312"/>
      <c r="C7" s="312"/>
      <c r="D7" s="16"/>
      <c r="E7" s="16"/>
      <c r="F7" s="16"/>
      <c r="G7" s="16"/>
    </row>
    <row r="8" spans="1:7" ht="18" customHeight="1" thickBot="1" x14ac:dyDescent="0.3">
      <c r="A8" s="13"/>
      <c r="B8" s="13"/>
      <c r="C8" s="13"/>
      <c r="D8" s="56" t="s">
        <v>123</v>
      </c>
      <c r="E8" s="12"/>
      <c r="F8" s="12"/>
      <c r="G8" s="12"/>
    </row>
    <row r="9" spans="1:7" ht="18.75" customHeight="1" x14ac:dyDescent="0.2">
      <c r="A9" s="313" t="s">
        <v>44</v>
      </c>
      <c r="B9" s="315" t="s">
        <v>95</v>
      </c>
      <c r="C9" s="317" t="s">
        <v>273</v>
      </c>
      <c r="D9" s="310" t="s">
        <v>171</v>
      </c>
      <c r="E9" s="7"/>
    </row>
    <row r="10" spans="1:7" s="14" customFormat="1" ht="73.5" customHeight="1" thickBot="1" x14ac:dyDescent="0.25">
      <c r="A10" s="314"/>
      <c r="B10" s="316"/>
      <c r="C10" s="318"/>
      <c r="D10" s="311"/>
    </row>
    <row r="11" spans="1:7" ht="37.5" x14ac:dyDescent="0.3">
      <c r="A11" s="73" t="s">
        <v>19</v>
      </c>
      <c r="B11" s="176" t="s">
        <v>172</v>
      </c>
      <c r="C11" s="177">
        <f>C13+C14+C15+C16+C17+C28</f>
        <v>7193.82672</v>
      </c>
      <c r="D11" s="65">
        <f>D13+D14+D15+D16+D17+D28</f>
        <v>36384.752841325142</v>
      </c>
      <c r="E11" s="7"/>
    </row>
    <row r="12" spans="1:7" ht="18.75" x14ac:dyDescent="0.3">
      <c r="A12" s="73"/>
      <c r="B12" s="167" t="s">
        <v>173</v>
      </c>
      <c r="C12" s="173"/>
      <c r="D12" s="178"/>
      <c r="E12" s="7"/>
    </row>
    <row r="13" spans="1:7" ht="18.75" x14ac:dyDescent="0.3">
      <c r="A13" s="20" t="s">
        <v>23</v>
      </c>
      <c r="B13" s="168" t="s">
        <v>174</v>
      </c>
      <c r="C13" s="337">
        <f>'[1]Прил. 5 (НВВ)'!O24</f>
        <v>51.02</v>
      </c>
      <c r="D13" s="338">
        <f>'[1]Прил. 5 (НВВ)'!S24</f>
        <v>1478.3797730656197</v>
      </c>
      <c r="E13" s="7"/>
    </row>
    <row r="14" spans="1:7" ht="18.75" x14ac:dyDescent="0.3">
      <c r="A14" s="20" t="s">
        <v>24</v>
      </c>
      <c r="B14" s="168" t="s">
        <v>175</v>
      </c>
      <c r="C14" s="337">
        <f>'[1]Прил. 5 (НВВ)'!O25</f>
        <v>3.2965200000000001</v>
      </c>
      <c r="D14" s="338">
        <f>'[1]Прил. 5 (НВВ)'!S25</f>
        <v>8.6866254593982859</v>
      </c>
      <c r="E14" s="7"/>
    </row>
    <row r="15" spans="1:7" ht="18.75" x14ac:dyDescent="0.3">
      <c r="A15" s="20" t="s">
        <v>25</v>
      </c>
      <c r="B15" s="168" t="s">
        <v>176</v>
      </c>
      <c r="C15" s="337">
        <f>'[1]Прил. 5 (НВВ)'!O26</f>
        <v>4104.6427000000003</v>
      </c>
      <c r="D15" s="338">
        <f>'[1]Прил. 5 (НВВ)'!S26</f>
        <v>19063.09296631478</v>
      </c>
      <c r="E15" s="7"/>
    </row>
    <row r="16" spans="1:7" ht="18.75" x14ac:dyDescent="0.3">
      <c r="A16" s="20" t="s">
        <v>26</v>
      </c>
      <c r="B16" s="168" t="s">
        <v>177</v>
      </c>
      <c r="C16" s="337">
        <f>'[1]Прил. 5 (НВВ)'!O27</f>
        <v>1245.6578</v>
      </c>
      <c r="D16" s="338">
        <f>'[1]Прил. 5 (НВВ)'!S27</f>
        <v>5795.1802617596913</v>
      </c>
      <c r="E16" s="7"/>
    </row>
    <row r="17" spans="1:5" ht="18.75" x14ac:dyDescent="0.3">
      <c r="A17" s="20" t="s">
        <v>0</v>
      </c>
      <c r="B17" s="168" t="s">
        <v>178</v>
      </c>
      <c r="C17" s="174">
        <f>SUM(C19:C21)</f>
        <v>1130.3956199999993</v>
      </c>
      <c r="D17" s="164">
        <f>SUM(D19:D21)</f>
        <v>2549.2412678565734</v>
      </c>
      <c r="E17" s="7"/>
    </row>
    <row r="18" spans="1:5" ht="18.75" x14ac:dyDescent="0.3">
      <c r="A18" s="20"/>
      <c r="B18" s="168" t="s">
        <v>179</v>
      </c>
      <c r="C18" s="174"/>
      <c r="D18" s="164"/>
      <c r="E18" s="7"/>
    </row>
    <row r="19" spans="1:5" ht="20.25" customHeight="1" x14ac:dyDescent="0.3">
      <c r="A19" s="20" t="s">
        <v>1</v>
      </c>
      <c r="B19" s="168" t="s">
        <v>27</v>
      </c>
      <c r="C19" s="337">
        <f>'[1]Прил. 5 (НВВ)'!O29</f>
        <v>10.37168</v>
      </c>
      <c r="D19" s="338">
        <f>'[1]Прил. 5 (НВВ)'!S29</f>
        <v>4.2059368000000008</v>
      </c>
      <c r="E19" s="7"/>
    </row>
    <row r="20" spans="1:5" ht="37.5" customHeight="1" x14ac:dyDescent="0.3">
      <c r="A20" s="20" t="s">
        <v>2</v>
      </c>
      <c r="B20" s="168" t="s">
        <v>77</v>
      </c>
      <c r="C20" s="337">
        <f>'[1]Прил. 5 (НВВ)'!O30</f>
        <v>10.508799999999999</v>
      </c>
      <c r="D20" s="338">
        <f>'[1]Прил. 5 (НВВ)'!S30</f>
        <v>2.8039544000000003</v>
      </c>
      <c r="E20" s="7"/>
    </row>
    <row r="21" spans="1:5" ht="34.5" customHeight="1" x14ac:dyDescent="0.3">
      <c r="A21" s="20" t="s">
        <v>3</v>
      </c>
      <c r="B21" s="168" t="s">
        <v>180</v>
      </c>
      <c r="C21" s="175">
        <f>SUM(C23:C27)</f>
        <v>1109.5151399999993</v>
      </c>
      <c r="D21" s="179">
        <f>SUM(D23:D27)</f>
        <v>2542.2313766565735</v>
      </c>
      <c r="E21" s="7"/>
    </row>
    <row r="22" spans="1:5" ht="18.75" x14ac:dyDescent="0.3">
      <c r="A22" s="20"/>
      <c r="B22" s="168" t="s">
        <v>173</v>
      </c>
      <c r="C22" s="174"/>
      <c r="D22" s="164"/>
      <c r="E22" s="7"/>
    </row>
    <row r="23" spans="1:5" ht="18.75" x14ac:dyDescent="0.3">
      <c r="A23" s="20" t="s">
        <v>4</v>
      </c>
      <c r="B23" s="169" t="s">
        <v>32</v>
      </c>
      <c r="C23" s="337">
        <f>'[1]Прил. 5 (НВВ)'!O32</f>
        <v>1.5558399999999999</v>
      </c>
      <c r="D23" s="338">
        <f>'[1]Прил. 5 (НВВ)'!S32</f>
        <v>2.8039544000000003</v>
      </c>
      <c r="E23" s="7"/>
    </row>
    <row r="24" spans="1:5" ht="18.75" x14ac:dyDescent="0.3">
      <c r="A24" s="20" t="s">
        <v>5</v>
      </c>
      <c r="B24" s="168" t="s">
        <v>20</v>
      </c>
      <c r="C24" s="337">
        <f>'[1]Прил. 5 (НВВ)'!O33</f>
        <v>2.9282599999999999</v>
      </c>
      <c r="D24" s="338">
        <f>'[1]Прил. 5 (НВВ)'!S33</f>
        <v>2.8039544000000003</v>
      </c>
      <c r="E24" s="7"/>
    </row>
    <row r="25" spans="1:5" ht="37.5" x14ac:dyDescent="0.3">
      <c r="A25" s="20" t="s">
        <v>6</v>
      </c>
      <c r="B25" s="168" t="s">
        <v>21</v>
      </c>
      <c r="C25" s="337">
        <f>'[1]Прил. 5 (НВВ)'!O34</f>
        <v>4.2670000000000003</v>
      </c>
      <c r="D25" s="338">
        <f>'[1]Прил. 5 (НВВ)'!S34</f>
        <v>23.833648800000002</v>
      </c>
      <c r="E25" s="7"/>
    </row>
    <row r="26" spans="1:5" ht="18.75" x14ac:dyDescent="0.3">
      <c r="A26" s="20" t="s">
        <v>7</v>
      </c>
      <c r="B26" s="168" t="s">
        <v>22</v>
      </c>
      <c r="C26" s="337">
        <f>'[1]Прил. 5 (НВВ)'!O35</f>
        <v>0.24540000000000001</v>
      </c>
      <c r="D26" s="338">
        <f>'[1]Прил. 5 (НВВ)'!S35</f>
        <v>2.8039544000000003</v>
      </c>
      <c r="E26" s="7"/>
    </row>
    <row r="27" spans="1:5" ht="38.25" customHeight="1" x14ac:dyDescent="0.3">
      <c r="A27" s="20" t="s">
        <v>8</v>
      </c>
      <c r="B27" s="168" t="s">
        <v>48</v>
      </c>
      <c r="C27" s="337">
        <f>'[1]Прил. 5 (НВВ)'!O36</f>
        <v>1100.5186399999993</v>
      </c>
      <c r="D27" s="338">
        <f>'[1]Прил. 5 (НВВ)'!S36</f>
        <v>2509.9858646565735</v>
      </c>
      <c r="E27" s="7"/>
    </row>
    <row r="28" spans="1:5" ht="18.75" x14ac:dyDescent="0.3">
      <c r="A28" s="20" t="s">
        <v>9</v>
      </c>
      <c r="B28" s="168" t="s">
        <v>181</v>
      </c>
      <c r="C28" s="174">
        <f>SUM(C30:C33)</f>
        <v>658.81407999999999</v>
      </c>
      <c r="D28" s="164">
        <f>SUM(D30:D33)</f>
        <v>7490.1719468690762</v>
      </c>
      <c r="E28" s="7"/>
    </row>
    <row r="29" spans="1:5" ht="18.75" x14ac:dyDescent="0.3">
      <c r="A29" s="20"/>
      <c r="B29" s="168" t="s">
        <v>173</v>
      </c>
      <c r="C29" s="174"/>
      <c r="D29" s="164"/>
      <c r="E29" s="7"/>
    </row>
    <row r="30" spans="1:5" ht="18.75" x14ac:dyDescent="0.3">
      <c r="A30" s="20" t="s">
        <v>10</v>
      </c>
      <c r="B30" s="168" t="s">
        <v>28</v>
      </c>
      <c r="C30" s="337">
        <f>'[1]Прил. 5 (НВВ)'!O38</f>
        <v>4.0719999999999999E-2</v>
      </c>
      <c r="D30" s="338">
        <f>'[1]Прил. 5 (НВВ)'!S38</f>
        <v>1.4019824000000001</v>
      </c>
      <c r="E30" s="7"/>
    </row>
    <row r="31" spans="1:5" ht="18.75" x14ac:dyDescent="0.3">
      <c r="A31" s="20" t="s">
        <v>11</v>
      </c>
      <c r="B31" s="168" t="s">
        <v>29</v>
      </c>
      <c r="C31" s="337">
        <f>'[1]Прил. 5 (НВВ)'!O39</f>
        <v>0</v>
      </c>
      <c r="D31" s="338">
        <f>'[1]Прил. 5 (НВВ)'!S39</f>
        <v>2742.9326373397103</v>
      </c>
      <c r="E31" s="7"/>
    </row>
    <row r="32" spans="1:5" ht="18.75" x14ac:dyDescent="0.3">
      <c r="A32" s="20" t="s">
        <v>12</v>
      </c>
      <c r="B32" s="170" t="s">
        <v>124</v>
      </c>
      <c r="C32" s="337">
        <f>'[1]Прил. 5 (НВВ)'!O40</f>
        <v>435.63556</v>
      </c>
      <c r="D32" s="338">
        <f>'[1]Прил. 5 (НВВ)'!S40</f>
        <v>4745.8373271293658</v>
      </c>
      <c r="E32" s="7"/>
    </row>
    <row r="33" spans="1:6" ht="37.5" x14ac:dyDescent="0.3">
      <c r="A33" s="20" t="s">
        <v>13</v>
      </c>
      <c r="B33" s="168" t="s">
        <v>182</v>
      </c>
      <c r="C33" s="337">
        <f>'[1]Прил. 5 (НВВ)'!O41</f>
        <v>223.1378</v>
      </c>
      <c r="D33" s="338">
        <f>'[1]Прил. 5 (НВВ)'!S41</f>
        <v>0</v>
      </c>
      <c r="E33" s="7"/>
    </row>
    <row r="34" spans="1:6" ht="93.75" x14ac:dyDescent="0.3">
      <c r="A34" s="19" t="s">
        <v>30</v>
      </c>
      <c r="B34" s="171" t="s">
        <v>183</v>
      </c>
      <c r="C34" s="339">
        <f>'[1]Прил. 5 (НВВ)'!O42</f>
        <v>16681</v>
      </c>
      <c r="D34" s="340">
        <f>'[1]Прил. 5 (НВВ)'!S42</f>
        <v>31455.138881766467</v>
      </c>
      <c r="E34" s="7"/>
      <c r="F34" s="247">
        <f>D34-D35</f>
        <v>31455.138881766467</v>
      </c>
    </row>
    <row r="35" spans="1:6" s="15" customFormat="1" ht="18.75" x14ac:dyDescent="0.3">
      <c r="A35" s="19" t="s">
        <v>14</v>
      </c>
      <c r="B35" s="171" t="s">
        <v>184</v>
      </c>
      <c r="C35" s="337">
        <f>'[1]Прил. 5 (НВВ)'!O43</f>
        <v>0</v>
      </c>
      <c r="D35" s="338">
        <f>'[1]Прил. 5 (НВВ)'!S43</f>
        <v>0</v>
      </c>
    </row>
    <row r="36" spans="1:6" s="9" customFormat="1" ht="41.25" customHeight="1" thickBot="1" x14ac:dyDescent="0.35">
      <c r="A36" s="21"/>
      <c r="B36" s="172" t="s">
        <v>215</v>
      </c>
      <c r="C36" s="180">
        <f>C11+C34+C35</f>
        <v>23874.826720000001</v>
      </c>
      <c r="D36" s="181">
        <f>D11+D34+D35</f>
        <v>67839.891723091612</v>
      </c>
    </row>
    <row r="37" spans="1:6" x14ac:dyDescent="0.2">
      <c r="A37" s="157" t="s">
        <v>216</v>
      </c>
      <c r="B37" s="7" t="s">
        <v>217</v>
      </c>
    </row>
  </sheetData>
  <mergeCells count="8">
    <mergeCell ref="C1:D1"/>
    <mergeCell ref="D9:D10"/>
    <mergeCell ref="A7:C7"/>
    <mergeCell ref="A9:A10"/>
    <mergeCell ref="B9:B10"/>
    <mergeCell ref="C9:C10"/>
    <mergeCell ref="C2:D2"/>
    <mergeCell ref="A6:D6"/>
  </mergeCells>
  <printOptions horizontalCentered="1"/>
  <pageMargins left="0" right="0" top="0" bottom="0" header="0" footer="0"/>
  <pageSetup paperSize="9" scale="75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1:T43"/>
  <sheetViews>
    <sheetView view="pageBreakPreview" zoomScale="70" zoomScaleNormal="100" zoomScaleSheetLayoutView="70" workbookViewId="0">
      <pane ySplit="7" topLeftCell="A8" activePane="bottomLeft" state="frozen"/>
      <selection pane="bottomLeft" activeCell="A4" sqref="A4:C4"/>
    </sheetView>
  </sheetViews>
  <sheetFormatPr defaultRowHeight="12.75" outlineLevelRow="1" outlineLevelCol="1" x14ac:dyDescent="0.2"/>
  <cols>
    <col min="1" max="1" width="43.5703125" customWidth="1"/>
    <col min="2" max="2" width="37.140625" customWidth="1"/>
    <col min="3" max="3" width="34.7109375" customWidth="1"/>
    <col min="5" max="6" width="9.140625" style="199" hidden="1" customWidth="1" outlineLevel="1"/>
    <col min="7" max="7" width="41.28515625" hidden="1" customWidth="1" outlineLevel="1"/>
    <col min="8" max="8" width="2.85546875" hidden="1" customWidth="1" outlineLevel="1"/>
    <col min="9" max="10" width="9.140625" hidden="1" customWidth="1" outlineLevel="1"/>
    <col min="11" max="11" width="2.140625" hidden="1" customWidth="1" outlineLevel="1"/>
    <col min="12" max="12" width="14.42578125" style="237" hidden="1" customWidth="1" outlineLevel="1"/>
    <col min="13" max="13" width="9.140625" hidden="1" customWidth="1" outlineLevel="1"/>
    <col min="14" max="14" width="9.85546875" hidden="1" customWidth="1" outlineLevel="1"/>
    <col min="15" max="17" width="9.140625" hidden="1" customWidth="1" outlineLevel="1"/>
    <col min="18" max="18" width="9.140625" collapsed="1"/>
  </cols>
  <sheetData>
    <row r="1" spans="1:18" x14ac:dyDescent="0.2">
      <c r="B1" s="288" t="s">
        <v>229</v>
      </c>
      <c r="C1" s="288"/>
      <c r="D1" s="55"/>
    </row>
    <row r="2" spans="1:18" ht="39.75" customHeight="1" x14ac:dyDescent="0.2">
      <c r="B2" s="55"/>
      <c r="C2" s="54" t="s">
        <v>98</v>
      </c>
      <c r="D2" s="55"/>
    </row>
    <row r="3" spans="1:18" x14ac:dyDescent="0.2">
      <c r="A3" s="18"/>
      <c r="B3" s="18"/>
      <c r="C3" s="18"/>
    </row>
    <row r="4" spans="1:18" ht="63" customHeight="1" x14ac:dyDescent="0.2">
      <c r="A4" s="320" t="s">
        <v>138</v>
      </c>
      <c r="B4" s="320"/>
      <c r="C4" s="320"/>
    </row>
    <row r="5" spans="1:18" ht="15.75" x14ac:dyDescent="0.2">
      <c r="A5" s="64"/>
      <c r="B5" s="64"/>
      <c r="C5" s="64"/>
    </row>
    <row r="6" spans="1:18" ht="15.75" x14ac:dyDescent="0.2">
      <c r="A6" s="64"/>
      <c r="B6" s="64"/>
      <c r="C6" s="64"/>
      <c r="I6" s="215" t="s">
        <v>254</v>
      </c>
      <c r="J6" s="215" t="s">
        <v>255</v>
      </c>
    </row>
    <row r="7" spans="1:18" ht="64.5" customHeight="1" x14ac:dyDescent="0.2">
      <c r="A7" s="30" t="s">
        <v>125</v>
      </c>
      <c r="B7" s="30" t="s">
        <v>129</v>
      </c>
      <c r="C7" s="30" t="s">
        <v>147</v>
      </c>
      <c r="E7" s="238" t="s">
        <v>268</v>
      </c>
      <c r="F7" s="238" t="s">
        <v>267</v>
      </c>
      <c r="I7" s="321" t="s">
        <v>256</v>
      </c>
      <c r="J7" s="321"/>
      <c r="M7" s="216" t="s">
        <v>259</v>
      </c>
    </row>
    <row r="8" spans="1:18" ht="47.25" x14ac:dyDescent="0.2">
      <c r="A8" s="63" t="s">
        <v>130</v>
      </c>
      <c r="B8" s="26"/>
      <c r="C8" s="152"/>
    </row>
    <row r="9" spans="1:18" ht="31.5" hidden="1" outlineLevel="1" x14ac:dyDescent="0.2">
      <c r="A9" s="28" t="s">
        <v>127</v>
      </c>
      <c r="B9" s="26"/>
      <c r="C9" s="153"/>
    </row>
    <row r="10" spans="1:18" ht="31.5" hidden="1" outlineLevel="1" x14ac:dyDescent="0.2">
      <c r="A10" s="28" t="s">
        <v>126</v>
      </c>
      <c r="B10" s="26"/>
      <c r="C10" s="153"/>
    </row>
    <row r="11" spans="1:18" ht="31.5" hidden="1" outlineLevel="1" x14ac:dyDescent="0.2">
      <c r="A11" s="28" t="s">
        <v>128</v>
      </c>
      <c r="B11" s="26"/>
      <c r="C11" s="153"/>
      <c r="I11" s="183"/>
      <c r="J11" s="183"/>
    </row>
    <row r="12" spans="1:18" ht="84.75" customHeight="1" collapsed="1" x14ac:dyDescent="0.2">
      <c r="A12" s="29" t="s">
        <v>131</v>
      </c>
      <c r="B12" s="158">
        <f>SUM(B13,B17,B21,B25,B29,B33)</f>
        <v>310906.24562</v>
      </c>
      <c r="C12" s="158">
        <f>SUM(C13,C17,C21,C25,C29,C33)</f>
        <v>190.18333333333334</v>
      </c>
      <c r="E12" s="201">
        <f>B12/C12</f>
        <v>1634.7712503023399</v>
      </c>
      <c r="F12" s="201">
        <f>SUM(B14:B16,B18:B20,B22:B24,B26:B28)/SUM(C14:C16,C18:C20,C22:C24,C26:C28)</f>
        <v>1329.0750293577983</v>
      </c>
      <c r="I12" s="239">
        <f>'[2]Приложение 6'!B12</f>
        <v>966.69</v>
      </c>
      <c r="J12" s="239">
        <f>'[2]Приложение 6'!C12</f>
        <v>130.9</v>
      </c>
      <c r="L12" s="241" t="s">
        <v>263</v>
      </c>
      <c r="M12" s="199">
        <f>I12/J12</f>
        <v>7.3849503437738733</v>
      </c>
      <c r="P12" s="240">
        <f>'[3]Приложение 8 инвест за 3 года '!$Z$12</f>
        <v>457.7</v>
      </c>
      <c r="Q12" s="240">
        <f>C12-P12</f>
        <v>-267.51666666666665</v>
      </c>
      <c r="R12" s="201"/>
    </row>
    <row r="13" spans="1:18" ht="31.5" hidden="1" outlineLevel="1" x14ac:dyDescent="0.2">
      <c r="A13" s="222" t="s">
        <v>266</v>
      </c>
      <c r="B13" s="254">
        <f>IFERROR(AVERAGE(B14:B16),"")</f>
        <v>655.32636333333346</v>
      </c>
      <c r="C13" s="254">
        <f>IFERROR(AVERAGE(C14:C16),"")</f>
        <v>20</v>
      </c>
      <c r="F13" s="199">
        <f>SUM(B14:B16)/SUM(C14:C16)</f>
        <v>32.766318166666672</v>
      </c>
      <c r="G13" s="242" t="str">
        <f>""&amp;C13&amp;" кВт получено суммой, т.к. значится строительство неотнотипных ТП"</f>
        <v>20 кВт получено суммой, т.к. значится строительство неотнотипных ТП</v>
      </c>
      <c r="I13" s="219"/>
      <c r="J13" s="219"/>
      <c r="L13" s="24" t="s">
        <v>264</v>
      </c>
      <c r="M13" s="199" t="e">
        <f>I13/J13</f>
        <v>#DIV/0!</v>
      </c>
    </row>
    <row r="14" spans="1:18" ht="15.75" hidden="1" outlineLevel="1" x14ac:dyDescent="0.2">
      <c r="A14" s="220" t="s">
        <v>247</v>
      </c>
      <c r="B14" s="255">
        <f>[1]Стр.14!$P$199/1000</f>
        <v>250.82247000000001</v>
      </c>
      <c r="C14" s="255">
        <f>[1]Стр.14!$G$199</f>
        <v>5</v>
      </c>
      <c r="I14" s="219"/>
      <c r="J14" s="219"/>
      <c r="L14" s="24"/>
    </row>
    <row r="15" spans="1:18" ht="15.75" hidden="1" outlineLevel="1" x14ac:dyDescent="0.2">
      <c r="A15" s="220" t="s">
        <v>248</v>
      </c>
      <c r="B15" s="255">
        <f>[1]Стр.15!$P$203/1000</f>
        <v>0</v>
      </c>
      <c r="C15" s="255">
        <f>[1]Стр.15!$G$203</f>
        <v>0</v>
      </c>
      <c r="I15" s="219"/>
      <c r="J15" s="219"/>
      <c r="L15" s="24"/>
    </row>
    <row r="16" spans="1:18" ht="15.75" hidden="1" outlineLevel="1" x14ac:dyDescent="0.2">
      <c r="A16" s="221" t="s">
        <v>271</v>
      </c>
      <c r="B16" s="256">
        <f>[1]Стр.16!$P$215/1000</f>
        <v>1715.1566200000002</v>
      </c>
      <c r="C16" s="256">
        <f>[1]Стр.16!$G$215</f>
        <v>55</v>
      </c>
      <c r="I16" s="219"/>
      <c r="J16" s="219"/>
      <c r="L16" s="24"/>
    </row>
    <row r="17" spans="1:20" ht="38.25" hidden="1" outlineLevel="1" x14ac:dyDescent="0.2">
      <c r="A17" s="222" t="s">
        <v>265</v>
      </c>
      <c r="B17" s="254">
        <f>IFERROR(AVERAGE(B18:B20),"")</f>
        <v>469.64865666666674</v>
      </c>
      <c r="C17" s="254">
        <f>IFERROR(AVERAGE(C18:C20),"")</f>
        <v>68.333333333333329</v>
      </c>
      <c r="F17" s="199">
        <f>SUM(B18:B20)/SUM(C18:C20)</f>
        <v>6.8729071707317084</v>
      </c>
      <c r="G17" s="242" t="str">
        <f>""&amp;C17&amp;" кВт, использована средняя величина, т.к. значится строительство однотипных ТП"</f>
        <v>68,3333333333333 кВт, использована средняя величина, т.к. значится строительство однотипных ТП</v>
      </c>
      <c r="I17" s="219">
        <f>'[2]Приложение 6'!B13</f>
        <v>778.07</v>
      </c>
      <c r="J17" s="219">
        <f>'[2]Приложение 6'!C13</f>
        <v>30</v>
      </c>
      <c r="L17" s="24" t="s">
        <v>264</v>
      </c>
      <c r="M17" s="199">
        <f>I17/J17</f>
        <v>25.93566666666667</v>
      </c>
    </row>
    <row r="18" spans="1:20" ht="15.75" hidden="1" outlineLevel="1" x14ac:dyDescent="0.2">
      <c r="A18" s="220" t="s">
        <v>247</v>
      </c>
      <c r="B18" s="255">
        <f>[1]Стр.14!$P$176/1000</f>
        <v>410.37324000000001</v>
      </c>
      <c r="C18" s="255">
        <f>[1]Стр.14!$G$176</f>
        <v>160</v>
      </c>
      <c r="I18" s="219"/>
      <c r="J18" s="219"/>
      <c r="L18" s="24"/>
      <c r="S18" s="253">
        <f>C18/5</f>
        <v>32</v>
      </c>
      <c r="T18" t="s">
        <v>272</v>
      </c>
    </row>
    <row r="19" spans="1:20" ht="15.75" hidden="1" outlineLevel="1" x14ac:dyDescent="0.2">
      <c r="A19" s="220" t="s">
        <v>248</v>
      </c>
      <c r="B19" s="255">
        <f>([1]Стр.15!$P$172+[1]Стр.15!$P$173+[1]Стр.15!$P$174)/1000</f>
        <v>573.8198000000001</v>
      </c>
      <c r="C19" s="255">
        <f>[1]Стр.15!$G$172+[1]Стр.15!$G$173+[1]Стр.15!$G$174</f>
        <v>15</v>
      </c>
      <c r="I19" s="219"/>
      <c r="J19" s="219"/>
      <c r="L19" s="24"/>
    </row>
    <row r="20" spans="1:20" ht="15.75" hidden="1" outlineLevel="1" x14ac:dyDescent="0.2">
      <c r="A20" s="221" t="s">
        <v>271</v>
      </c>
      <c r="B20" s="256">
        <f>([1]Стр.16!$P$182+[1]Стр.16!$P$187)/1000</f>
        <v>424.75293000000005</v>
      </c>
      <c r="C20" s="256">
        <f>[1]Стр.16!$G$182+[1]Стр.16!$G$187</f>
        <v>30</v>
      </c>
      <c r="I20" s="219"/>
      <c r="J20" s="219"/>
      <c r="L20" s="24"/>
    </row>
    <row r="21" spans="1:20" ht="31.5" hidden="1" outlineLevel="1" x14ac:dyDescent="0.2">
      <c r="A21" s="222" t="s">
        <v>133</v>
      </c>
      <c r="B21" s="254">
        <f>IFERROR(AVERAGE(B22:B24),"")</f>
        <v>309781.27059999999</v>
      </c>
      <c r="C21" s="254">
        <f>IFERROR(AVERAGE(C22:C24),"")</f>
        <v>101.85</v>
      </c>
      <c r="F21" s="199">
        <f>SUM(B22:B24)/SUM(C22:C24)</f>
        <v>3041.5441394207169</v>
      </c>
      <c r="I21" s="219">
        <f>'[2]Приложение 6'!B14</f>
        <v>1711.6</v>
      </c>
      <c r="J21" s="219">
        <f>'[2]Приложение 6'!C14</f>
        <v>202.7</v>
      </c>
      <c r="L21" s="24" t="s">
        <v>264</v>
      </c>
      <c r="M21" s="199">
        <f>I21/J21</f>
        <v>8.4440059200789346</v>
      </c>
      <c r="O21" s="200"/>
    </row>
    <row r="22" spans="1:20" ht="15.75" hidden="1" outlineLevel="1" x14ac:dyDescent="0.2">
      <c r="A22" s="220" t="s">
        <v>247</v>
      </c>
      <c r="B22" s="255">
        <f>([1]Стр.14!$P$169+[1]Стр.14!$P$170)</f>
        <v>618471.24</v>
      </c>
      <c r="C22" s="255">
        <f>[1]Стр.14!$G$169+[1]Стр.14!$G$170</f>
        <v>34</v>
      </c>
      <c r="I22" s="219"/>
      <c r="J22" s="219"/>
      <c r="L22" s="24"/>
    </row>
    <row r="23" spans="1:20" ht="15.75" hidden="1" outlineLevel="1" x14ac:dyDescent="0.2">
      <c r="A23" s="220" t="s">
        <v>248</v>
      </c>
      <c r="B23" s="255">
        <f>([1]Стр.15!$P$175+[1]Стр.15!$P$181+[1]Стр.15!$P$182)/1000</f>
        <v>1091.3011999999999</v>
      </c>
      <c r="C23" s="255">
        <f>[1]Стр.15!$G$175+[1]Стр.15!$G$181+[1]Стр.15!$G$182</f>
        <v>169.7</v>
      </c>
      <c r="I23" s="219"/>
      <c r="J23" s="219"/>
      <c r="K23" s="200"/>
      <c r="L23" s="24"/>
    </row>
    <row r="24" spans="1:20" ht="15.75" hidden="1" outlineLevel="1" x14ac:dyDescent="0.2">
      <c r="A24" s="221" t="s">
        <v>271</v>
      </c>
      <c r="B24" s="256"/>
      <c r="C24" s="256"/>
      <c r="I24" s="219"/>
      <c r="J24" s="219"/>
      <c r="L24" s="24"/>
    </row>
    <row r="25" spans="1:20" ht="31.5" hidden="1" outlineLevel="1" x14ac:dyDescent="0.2">
      <c r="A25" s="222" t="s">
        <v>134</v>
      </c>
      <c r="B25" s="254" t="str">
        <f>IFERROR(AVERAGE(B26:B28),"")</f>
        <v/>
      </c>
      <c r="C25" s="254" t="str">
        <f>IFERROR(AVERAGE(C26:C28),"")</f>
        <v/>
      </c>
      <c r="F25" s="199" t="e">
        <f>SUM(B26:B28)/SUM(C26:C28)</f>
        <v>#DIV/0!</v>
      </c>
      <c r="I25" s="219">
        <f>'[2]Приложение 6'!B15</f>
        <v>410.4</v>
      </c>
      <c r="J25" s="219">
        <f>'[2]Приложение 6'!C15</f>
        <v>160</v>
      </c>
      <c r="L25" s="24" t="s">
        <v>264</v>
      </c>
      <c r="M25" s="199">
        <f>I25/J25</f>
        <v>2.5649999999999999</v>
      </c>
    </row>
    <row r="26" spans="1:20" ht="15.75" hidden="1" outlineLevel="1" x14ac:dyDescent="0.2">
      <c r="A26" s="220" t="s">
        <v>247</v>
      </c>
      <c r="B26" s="225"/>
      <c r="C26" s="226"/>
      <c r="I26" s="199"/>
      <c r="J26" s="199"/>
      <c r="L26" s="24"/>
    </row>
    <row r="27" spans="1:20" ht="15.75" hidden="1" outlineLevel="1" x14ac:dyDescent="0.2">
      <c r="A27" s="220" t="s">
        <v>248</v>
      </c>
      <c r="B27" s="225"/>
      <c r="C27" s="226"/>
    </row>
    <row r="28" spans="1:20" ht="15.75" hidden="1" outlineLevel="1" x14ac:dyDescent="0.2">
      <c r="A28" s="221" t="s">
        <v>271</v>
      </c>
      <c r="B28" s="227"/>
      <c r="C28" s="228"/>
    </row>
    <row r="29" spans="1:20" ht="31.5" hidden="1" outlineLevel="1" x14ac:dyDescent="0.2">
      <c r="A29" s="222" t="s">
        <v>135</v>
      </c>
      <c r="B29" s="254" t="str">
        <f>IFERROR(AVERAGE(B30:B32),"")</f>
        <v/>
      </c>
      <c r="C29" s="254" t="str">
        <f>IFERROR(AVERAGE(C30:C32),"")</f>
        <v/>
      </c>
    </row>
    <row r="30" spans="1:20" ht="15.75" hidden="1" outlineLevel="1" x14ac:dyDescent="0.2">
      <c r="A30" s="220" t="s">
        <v>247</v>
      </c>
      <c r="B30" s="225"/>
      <c r="C30" s="226"/>
      <c r="I30" s="199"/>
      <c r="J30" s="199"/>
      <c r="L30" s="24"/>
    </row>
    <row r="31" spans="1:20" ht="15.75" hidden="1" outlineLevel="1" x14ac:dyDescent="0.2">
      <c r="A31" s="220" t="s">
        <v>248</v>
      </c>
      <c r="B31" s="225"/>
      <c r="C31" s="226"/>
      <c r="L31" s="248"/>
    </row>
    <row r="32" spans="1:20" ht="15.75" hidden="1" outlineLevel="1" x14ac:dyDescent="0.2">
      <c r="A32" s="221" t="s">
        <v>271</v>
      </c>
      <c r="B32" s="227"/>
      <c r="C32" s="228"/>
      <c r="L32" s="248"/>
    </row>
    <row r="33" spans="1:12" ht="31.5" hidden="1" outlineLevel="1" x14ac:dyDescent="0.2">
      <c r="A33" s="222" t="s">
        <v>136</v>
      </c>
      <c r="B33" s="254" t="str">
        <f>IFERROR(AVERAGE(B34:B36),"")</f>
        <v/>
      </c>
      <c r="C33" s="254" t="str">
        <f>IFERROR(AVERAGE(C34:C36),"")</f>
        <v/>
      </c>
    </row>
    <row r="34" spans="1:12" ht="15.75" hidden="1" outlineLevel="1" x14ac:dyDescent="0.2">
      <c r="A34" s="220" t="s">
        <v>247</v>
      </c>
      <c r="B34" s="225"/>
      <c r="C34" s="226"/>
      <c r="I34" s="199"/>
      <c r="J34" s="199"/>
      <c r="L34" s="24"/>
    </row>
    <row r="35" spans="1:12" ht="15.75" hidden="1" outlineLevel="1" x14ac:dyDescent="0.2">
      <c r="A35" s="220" t="s">
        <v>248</v>
      </c>
      <c r="B35" s="225"/>
      <c r="C35" s="226"/>
      <c r="L35" s="248"/>
    </row>
    <row r="36" spans="1:12" ht="15.75" hidden="1" outlineLevel="1" x14ac:dyDescent="0.2">
      <c r="A36" s="221" t="s">
        <v>271</v>
      </c>
      <c r="B36" s="227"/>
      <c r="C36" s="228"/>
      <c r="L36" s="248"/>
    </row>
    <row r="37" spans="1:12" ht="47.25" collapsed="1" x14ac:dyDescent="0.2">
      <c r="A37" s="63" t="s">
        <v>137</v>
      </c>
      <c r="B37" s="26"/>
      <c r="C37" s="152"/>
    </row>
    <row r="38" spans="1:12" ht="31.5" hidden="1" outlineLevel="1" x14ac:dyDescent="0.2">
      <c r="A38" s="28" t="s">
        <v>132</v>
      </c>
      <c r="B38" s="26"/>
      <c r="C38" s="26"/>
    </row>
    <row r="39" spans="1:12" ht="31.5" hidden="1" outlineLevel="1" x14ac:dyDescent="0.2">
      <c r="A39" s="28" t="s">
        <v>133</v>
      </c>
      <c r="B39" s="27"/>
      <c r="C39" s="27"/>
    </row>
    <row r="40" spans="1:12" ht="31.5" hidden="1" outlineLevel="1" x14ac:dyDescent="0.2">
      <c r="A40" s="28" t="s">
        <v>134</v>
      </c>
      <c r="B40" s="27"/>
      <c r="C40" s="27"/>
    </row>
    <row r="41" spans="1:12" ht="31.5" hidden="1" outlineLevel="1" x14ac:dyDescent="0.2">
      <c r="A41" s="28" t="s">
        <v>135</v>
      </c>
      <c r="B41" s="27"/>
      <c r="C41" s="27"/>
    </row>
    <row r="42" spans="1:12" ht="31.5" hidden="1" outlineLevel="1" x14ac:dyDescent="0.2">
      <c r="A42" s="28" t="s">
        <v>136</v>
      </c>
      <c r="B42" s="27"/>
      <c r="C42" s="27"/>
    </row>
    <row r="43" spans="1:12" collapsed="1" x14ac:dyDescent="0.2"/>
  </sheetData>
  <mergeCells count="3">
    <mergeCell ref="B1:C1"/>
    <mergeCell ref="A4:C4"/>
    <mergeCell ref="I7:J7"/>
  </mergeCells>
  <pageMargins left="0.7" right="0.7" top="0.75" bottom="0.75" header="0.3" footer="0.3"/>
  <pageSetup paperSize="9" scale="77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H47"/>
  <sheetViews>
    <sheetView view="pageBreakPreview" zoomScale="60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" sqref="A4:D4"/>
    </sheetView>
  </sheetViews>
  <sheetFormatPr defaultRowHeight="12.75" outlineLevelRow="1" outlineLevelCol="2" x14ac:dyDescent="0.2"/>
  <cols>
    <col min="1" max="1" width="38.85546875" customWidth="1"/>
    <col min="2" max="2" width="45" customWidth="1"/>
    <col min="3" max="3" width="36.5703125" customWidth="1"/>
    <col min="4" max="4" width="35.42578125" customWidth="1"/>
    <col min="5" max="6" width="23.5703125" hidden="1" customWidth="1" outlineLevel="1"/>
    <col min="7" max="8" width="23.28515625" hidden="1" customWidth="1" outlineLevel="1"/>
    <col min="9" max="9" width="15.42578125" hidden="1" customWidth="1" outlineLevel="1"/>
    <col min="10" max="10" width="9.7109375" style="212" hidden="1" customWidth="1" outlineLevel="1"/>
    <col min="11" max="11" width="9.140625" style="212" hidden="1" customWidth="1" outlineLevel="1"/>
    <col min="12" max="12" width="9.140625" style="202" hidden="1" customWidth="1" outlineLevel="1"/>
    <col min="13" max="13" width="11.28515625" hidden="1" customWidth="1" outlineLevel="1"/>
    <col min="14" max="14" width="17" hidden="1" customWidth="1" outlineLevel="2"/>
    <col min="15" max="15" width="45" hidden="1" customWidth="1" outlineLevel="2"/>
    <col min="16" max="16" width="36.5703125" hidden="1" customWidth="1" outlineLevel="2"/>
    <col min="17" max="17" width="35.42578125" hidden="1" customWidth="1" outlineLevel="2"/>
    <col min="18" max="18" width="11.85546875" hidden="1" customWidth="1" outlineLevel="1" collapsed="1"/>
    <col min="19" max="20" width="9.140625" hidden="1" customWidth="1" outlineLevel="1"/>
    <col min="21" max="31" width="9.140625" hidden="1" customWidth="1" outlineLevel="2"/>
    <col min="32" max="32" width="9.140625" hidden="1" customWidth="1" outlineLevel="1" collapsed="1"/>
    <col min="33" max="33" width="9.140625" hidden="1" customWidth="1" outlineLevel="1"/>
    <col min="34" max="34" width="9.140625" collapsed="1"/>
    <col min="35" max="35" width="10.140625" bestFit="1" customWidth="1"/>
  </cols>
  <sheetData>
    <row r="1" spans="1:30" x14ac:dyDescent="0.2">
      <c r="C1" s="288" t="s">
        <v>230</v>
      </c>
      <c r="D1" s="288"/>
      <c r="E1" s="184"/>
      <c r="F1" s="184"/>
      <c r="G1" s="184"/>
      <c r="H1" s="184"/>
      <c r="I1" s="184"/>
    </row>
    <row r="2" spans="1:30" ht="39.75" customHeight="1" x14ac:dyDescent="0.2">
      <c r="C2" s="55"/>
      <c r="D2" s="54" t="s">
        <v>98</v>
      </c>
      <c r="E2" s="184"/>
      <c r="F2" s="184"/>
      <c r="G2" s="184"/>
      <c r="H2" s="184"/>
      <c r="I2" s="184"/>
      <c r="P2" s="55"/>
      <c r="Q2" s="217" t="s">
        <v>98</v>
      </c>
    </row>
    <row r="3" spans="1:30" x14ac:dyDescent="0.2">
      <c r="A3" s="18"/>
      <c r="B3" s="18"/>
      <c r="C3" s="18"/>
      <c r="D3" s="18"/>
      <c r="E3" s="18"/>
      <c r="F3" s="18"/>
      <c r="G3" s="18"/>
      <c r="H3" s="18"/>
      <c r="I3" s="18"/>
      <c r="O3" s="18"/>
      <c r="P3" s="18"/>
      <c r="Q3" s="18"/>
    </row>
    <row r="4" spans="1:30" ht="77.25" customHeight="1" x14ac:dyDescent="0.2">
      <c r="A4" s="320" t="s">
        <v>139</v>
      </c>
      <c r="B4" s="320"/>
      <c r="C4" s="320"/>
      <c r="D4" s="320"/>
      <c r="E4" s="185"/>
      <c r="F4" s="185"/>
      <c r="G4" s="185"/>
      <c r="H4" s="185"/>
      <c r="I4" s="185"/>
    </row>
    <row r="5" spans="1:30" ht="15.75" x14ac:dyDescent="0.2">
      <c r="A5" s="64"/>
      <c r="B5" s="64"/>
      <c r="C5" s="64"/>
      <c r="D5" s="64"/>
      <c r="E5" s="64"/>
      <c r="F5" s="64"/>
      <c r="G5" s="64"/>
      <c r="H5" s="64"/>
      <c r="I5" s="64"/>
      <c r="O5" s="64"/>
      <c r="P5" s="64"/>
      <c r="Q5" s="64"/>
    </row>
    <row r="6" spans="1:30" ht="15.75" x14ac:dyDescent="0.2">
      <c r="A6" s="64"/>
      <c r="B6" s="64"/>
      <c r="C6" s="64"/>
      <c r="D6" s="64"/>
      <c r="E6" s="186" t="s">
        <v>260</v>
      </c>
      <c r="F6" s="186" t="s">
        <v>259</v>
      </c>
      <c r="G6" s="186" t="s">
        <v>260</v>
      </c>
      <c r="H6" s="186" t="s">
        <v>259</v>
      </c>
      <c r="I6" s="64"/>
      <c r="J6" s="213" t="s">
        <v>261</v>
      </c>
      <c r="K6" s="213" t="s">
        <v>262</v>
      </c>
      <c r="O6" s="64"/>
      <c r="P6" s="64"/>
      <c r="Q6" s="64"/>
    </row>
    <row r="7" spans="1:30" ht="80.25" customHeight="1" x14ac:dyDescent="0.2">
      <c r="A7" s="30" t="s">
        <v>125</v>
      </c>
      <c r="B7" s="30" t="s">
        <v>146</v>
      </c>
      <c r="C7" s="30" t="s">
        <v>140</v>
      </c>
      <c r="D7" s="30" t="s">
        <v>145</v>
      </c>
      <c r="E7" s="289" t="s">
        <v>257</v>
      </c>
      <c r="F7" s="323"/>
      <c r="G7" s="324" t="s">
        <v>258</v>
      </c>
      <c r="H7" s="324"/>
      <c r="I7" s="64"/>
      <c r="J7" s="322" t="s">
        <v>256</v>
      </c>
      <c r="K7" s="322"/>
      <c r="O7" s="218" t="s">
        <v>146</v>
      </c>
      <c r="P7" s="218" t="s">
        <v>140</v>
      </c>
      <c r="Q7" s="218" t="s">
        <v>145</v>
      </c>
    </row>
    <row r="8" spans="1:30" ht="75" customHeight="1" x14ac:dyDescent="0.2">
      <c r="A8" s="63" t="s">
        <v>141</v>
      </c>
      <c r="B8" s="154">
        <f>B9+B10+B11</f>
        <v>0</v>
      </c>
      <c r="C8" s="154">
        <f>C9+C10+C11</f>
        <v>0</v>
      </c>
      <c r="D8" s="155">
        <f>D9+D10+D11</f>
        <v>0</v>
      </c>
      <c r="E8" s="204"/>
      <c r="F8" s="204"/>
      <c r="G8" s="204"/>
      <c r="H8" s="204"/>
      <c r="I8" s="204"/>
      <c r="O8" s="154">
        <f>O9+O10+O11</f>
        <v>0</v>
      </c>
      <c r="P8" s="154">
        <f>P9+P10+P11</f>
        <v>0</v>
      </c>
      <c r="Q8" s="155">
        <f>Q9+Q10+Q11</f>
        <v>0</v>
      </c>
    </row>
    <row r="9" spans="1:30" ht="25.5" customHeight="1" x14ac:dyDescent="0.2">
      <c r="A9" s="28" t="s">
        <v>142</v>
      </c>
      <c r="B9" s="26"/>
      <c r="C9" s="152"/>
      <c r="D9" s="153"/>
      <c r="E9" s="205"/>
      <c r="F9" s="205"/>
      <c r="G9" s="205"/>
      <c r="H9" s="205"/>
      <c r="I9" s="205"/>
      <c r="O9" s="26"/>
      <c r="P9" s="152"/>
      <c r="Q9" s="153"/>
    </row>
    <row r="10" spans="1:30" ht="25.5" customHeight="1" x14ac:dyDescent="0.2">
      <c r="A10" s="28" t="s">
        <v>143</v>
      </c>
      <c r="B10" s="26"/>
      <c r="C10" s="152"/>
      <c r="D10" s="153"/>
      <c r="E10" s="205"/>
      <c r="F10" s="205"/>
      <c r="G10" s="205"/>
      <c r="H10" s="205"/>
      <c r="I10" s="205"/>
      <c r="O10" s="26"/>
      <c r="P10" s="152"/>
      <c r="Q10" s="153"/>
    </row>
    <row r="11" spans="1:30" ht="24" customHeight="1" x14ac:dyDescent="0.2">
      <c r="A11" s="28" t="s">
        <v>82</v>
      </c>
      <c r="B11" s="26"/>
      <c r="C11" s="152"/>
      <c r="D11" s="153"/>
      <c r="E11" s="205"/>
      <c r="F11" s="205"/>
      <c r="G11" s="205"/>
      <c r="H11" s="205"/>
      <c r="I11" s="205"/>
      <c r="O11" s="26"/>
      <c r="P11" s="152"/>
      <c r="Q11" s="153"/>
      <c r="Z11" s="154">
        <f>'[3]Приложение 8 инвест за 3 года '!$N$3</f>
        <v>0</v>
      </c>
      <c r="AA11" s="154">
        <f>Z11-C12</f>
        <v>-18.941833333333335</v>
      </c>
    </row>
    <row r="12" spans="1:30" ht="84.75" customHeight="1" x14ac:dyDescent="0.2">
      <c r="A12" s="29" t="s">
        <v>144</v>
      </c>
      <c r="B12" s="154">
        <f>SUM(B13,B30,B47)</f>
        <v>10700.621158666667</v>
      </c>
      <c r="C12" s="154">
        <f>SUM(C13,C30,C47)</f>
        <v>18.941833333333335</v>
      </c>
      <c r="D12" s="166">
        <f>SUM(D13,D30,D47)</f>
        <v>895.57333333333327</v>
      </c>
      <c r="E12" s="203">
        <f>B12/C12</f>
        <v>564.92003547703052</v>
      </c>
      <c r="F12" s="203">
        <f>SUM(B15:B17,B19:B21,B23:B25,B27:B29,B32:B34,B36:B38,B40:B42,B44:B46)/SUM(C15:C17,C19:C21,C23:C25,C27:C29,C32:C34,C36:C38,C40:C42,C44:C46)</f>
        <v>576.85640494131121</v>
      </c>
      <c r="G12" s="203">
        <f>B12/D12</f>
        <v>11.948347232313008</v>
      </c>
      <c r="H12" s="203">
        <f>SUM(B15:B17,B19:B21,B23:B25,B27:B29,B32:B34,B36:B38,B40:B42,B44:B46)/SUM(D15:D17,D19:D21,D23:D25,D27:D29,D32:D34,D36:D38,D40:D42,D44:D46)</f>
        <v>11.934374859918147</v>
      </c>
      <c r="I12" s="203"/>
      <c r="J12" s="214">
        <f>'[2]Приложение 7'!B12</f>
        <v>10455.053333333333</v>
      </c>
      <c r="K12" s="214">
        <f>'[2]Приложение 7'!C12</f>
        <v>14.863333333333333</v>
      </c>
      <c r="L12" s="211">
        <f>J12/K12</f>
        <v>703.41242431038347</v>
      </c>
      <c r="N12" s="234" t="e">
        <f>SUM(N13,N30,N47)/3</f>
        <v>#REF!</v>
      </c>
      <c r="O12" s="154" t="e">
        <f>SUM(O13,O30,O47)</f>
        <v>#REF!</v>
      </c>
      <c r="P12" s="154">
        <f>SUM(P13,P30,P47)</f>
        <v>15.451333333333334</v>
      </c>
      <c r="Q12" s="166">
        <f>SUM(Q13,Q30,Q47)</f>
        <v>751.49</v>
      </c>
      <c r="W12" s="154">
        <f>'[4]Приложение 8 инвест за 3 года '!$N$12</f>
        <v>14.866999999999999</v>
      </c>
      <c r="X12" s="154">
        <f>W12-C12</f>
        <v>-4.074833333333336</v>
      </c>
      <c r="Z12" s="154">
        <f>'[3]Приложение 8 инвест за 3 года '!$N$12</f>
        <v>18.1145</v>
      </c>
      <c r="AA12" s="154"/>
      <c r="AC12" s="154">
        <f>W12-Z12</f>
        <v>-3.2475000000000005</v>
      </c>
      <c r="AD12" s="154"/>
    </row>
    <row r="13" spans="1:30" ht="23.25" customHeight="1" x14ac:dyDescent="0.2">
      <c r="A13" s="260" t="s">
        <v>142</v>
      </c>
      <c r="B13" s="165">
        <f>SUM(B14,B18,B22,B26)</f>
        <v>3751.9272283333335</v>
      </c>
      <c r="C13" s="165">
        <f>SUM(C14,C18,C22,C26)</f>
        <v>7.4075000000000006</v>
      </c>
      <c r="D13" s="165">
        <f>SUM(D14,D18,D22,D26)</f>
        <v>433.85999999999996</v>
      </c>
      <c r="E13" s="209">
        <f>B13/C13</f>
        <v>506.5038445269434</v>
      </c>
      <c r="F13" s="210">
        <f>SUM(B15:B17,B19:B21,B23:B25)/SUM(C15:C17,C19:C21,C23:C25)</f>
        <v>511.50844123134317</v>
      </c>
      <c r="G13" s="209">
        <f>B13/D13</f>
        <v>8.6477832211619727</v>
      </c>
      <c r="H13" s="210">
        <f>SUM(B15:B17,B19:B21,B23:B25)/SUM(D15:D17,D19:D21,D23:D25)</f>
        <v>8.9959157561439795</v>
      </c>
      <c r="I13" s="206">
        <f>'[5]Приложение 8 инвест за 3 года '!$AD$25+'[5]Приложение 8 инвест за 3 года '!$AD$38+'[5]Приложение 8 инвест за 3 года '!$AD$59</f>
        <v>526.15000000000009</v>
      </c>
      <c r="J13" s="214">
        <f>'[2]Приложение 7'!B13</f>
        <v>4675.8433333333332</v>
      </c>
      <c r="K13" s="214">
        <f>'[2]Приложение 7'!C13</f>
        <v>6.82</v>
      </c>
      <c r="L13" s="211">
        <f>J13/K13</f>
        <v>685.60752688172033</v>
      </c>
      <c r="M13" s="235">
        <f>SUM(B15:B17,B19:B21,B23:B25)</f>
        <v>10966.74098</v>
      </c>
      <c r="N13" s="233" t="e">
        <f>SUM(O14,O18,O22)</f>
        <v>#REF!</v>
      </c>
      <c r="O13" s="165" t="e">
        <f>SUM(O14,O18,O22)/3</f>
        <v>#REF!</v>
      </c>
      <c r="P13" s="165">
        <f>SUM(P14,P18,P22)/3</f>
        <v>7.2266666666666675</v>
      </c>
      <c r="Q13" s="165">
        <f>SUM(Q14,Q18,Q22)/3</f>
        <v>410.43666666666667</v>
      </c>
      <c r="R13" s="236">
        <f>M13/3</f>
        <v>3655.5803266666667</v>
      </c>
      <c r="S13" s="233">
        <f>SUM(C15:C17,C19:C21,C23:C25)</f>
        <v>21.440000000000005</v>
      </c>
      <c r="T13" s="236">
        <f>S13/3</f>
        <v>7.1466666666666683</v>
      </c>
      <c r="X13" s="182"/>
    </row>
    <row r="14" spans="1:30" ht="23.25" hidden="1" customHeight="1" outlineLevel="1" x14ac:dyDescent="0.2">
      <c r="A14" s="261" t="s">
        <v>250</v>
      </c>
      <c r="B14" s="232">
        <f>AVERAGE(B15:B17)</f>
        <v>3408.6667000000002</v>
      </c>
      <c r="C14" s="232">
        <f>AVERAGE(C15:C17)</f>
        <v>6.3850000000000007</v>
      </c>
      <c r="D14" s="232">
        <f>AVERAGE(D15:D17)</f>
        <v>307.09999999999997</v>
      </c>
      <c r="E14" s="207"/>
      <c r="F14" s="207">
        <f>F13/3.9</f>
        <v>131.15601057213928</v>
      </c>
      <c r="G14" s="207"/>
      <c r="H14" s="207"/>
      <c r="I14" s="207"/>
      <c r="O14" s="229" t="e">
        <f>SUM(O15:O17)</f>
        <v>#REF!</v>
      </c>
      <c r="P14" s="229">
        <f>SUM(P15:P17)</f>
        <v>19.635000000000002</v>
      </c>
      <c r="Q14" s="229">
        <f>SUM(Q15:Q17)</f>
        <v>933.53</v>
      </c>
      <c r="Z14">
        <f>AVERAGE(Z15:Z17)</f>
        <v>6.04</v>
      </c>
    </row>
    <row r="15" spans="1:30" ht="23.25" hidden="1" customHeight="1" outlineLevel="1" x14ac:dyDescent="0.2">
      <c r="A15" s="262" t="s">
        <v>247</v>
      </c>
      <c r="B15" s="226">
        <f>[1]Стр.14!$P$191/1000</f>
        <v>3227.6317200000003</v>
      </c>
      <c r="C15" s="230">
        <f>[1]Стр.14!$F$191</f>
        <v>7.4530000000000012</v>
      </c>
      <c r="D15" s="226">
        <f>[1]Стр.14!$G$191</f>
        <v>304.46999999999997</v>
      </c>
      <c r="E15" s="206"/>
      <c r="F15" s="206"/>
      <c r="G15" s="206"/>
      <c r="H15" s="206"/>
      <c r="I15" s="206"/>
      <c r="O15" s="225">
        <f>'[6]ВЛ-0,4'!$I$66/1000</f>
        <v>2201.3831100000002</v>
      </c>
      <c r="P15" s="230">
        <f>'[7]10.1'!$F$49</f>
        <v>8.9679999999999982</v>
      </c>
      <c r="Q15" s="226">
        <f>[3]стр.2014!$D$64</f>
        <v>304.47000000000003</v>
      </c>
      <c r="Z15">
        <f>'[3]Приложение 8 инвест за 3 года '!$K$25</f>
        <v>7.4529999999999985</v>
      </c>
    </row>
    <row r="16" spans="1:30" ht="23.25" hidden="1" customHeight="1" outlineLevel="1" x14ac:dyDescent="0.2">
      <c r="A16" s="262" t="s">
        <v>248</v>
      </c>
      <c r="B16" s="226">
        <f>[1]Стр.15!$P$195/1000</f>
        <v>2881.9259299999999</v>
      </c>
      <c r="C16" s="230">
        <f>[1]Стр.15!$F$195</f>
        <v>6.2500000000000009</v>
      </c>
      <c r="D16" s="226">
        <f>[1]Стр.15!$G$195</f>
        <v>388.69999999999993</v>
      </c>
      <c r="E16" s="206"/>
      <c r="F16" s="206"/>
      <c r="G16" s="206"/>
      <c r="H16" s="206"/>
      <c r="I16" s="206"/>
      <c r="O16" s="225" t="e">
        <f>#REF!</f>
        <v>#REF!</v>
      </c>
      <c r="P16" s="230">
        <f>'[7]10.1'!$G$49</f>
        <v>6.2650000000000015</v>
      </c>
      <c r="Q16" s="226">
        <f>[3]стр.2015!$D$78</f>
        <v>428.69999999999993</v>
      </c>
      <c r="Z16">
        <f>'[3]Приложение 8 инвест за 3 года '!$L$25</f>
        <v>6.2650000000000015</v>
      </c>
    </row>
    <row r="17" spans="1:26" ht="23.25" hidden="1" customHeight="1" outlineLevel="1" x14ac:dyDescent="0.2">
      <c r="A17" s="263" t="s">
        <v>271</v>
      </c>
      <c r="B17" s="228">
        <f>[1]Стр.16!$P$207/1000</f>
        <v>4116.4424500000005</v>
      </c>
      <c r="C17" s="231">
        <f>[1]Стр.16!$F$207</f>
        <v>5.452</v>
      </c>
      <c r="D17" s="228">
        <f>[1]Стр.16!$G$207</f>
        <v>228.13</v>
      </c>
      <c r="E17" s="206"/>
      <c r="F17" s="206"/>
      <c r="G17" s="206"/>
      <c r="H17" s="206"/>
      <c r="I17" s="206"/>
      <c r="O17" s="227">
        <f>[3]стр.2016!$M$37</f>
        <v>3674.4559400000003</v>
      </c>
      <c r="P17" s="231">
        <f>'[7]10.1'!$H$49</f>
        <v>4.4020000000000001</v>
      </c>
      <c r="Q17" s="228">
        <f>[3]стр.2016!$D$37</f>
        <v>200.36</v>
      </c>
      <c r="Z17">
        <f>'[3]Приложение 8 инвест за 3 года '!$M$25</f>
        <v>4.4020000000000001</v>
      </c>
    </row>
    <row r="18" spans="1:26" ht="23.25" hidden="1" customHeight="1" outlineLevel="1" x14ac:dyDescent="0.2">
      <c r="A18" s="261" t="s">
        <v>253</v>
      </c>
      <c r="B18" s="232">
        <f>AVERAGE(B19:B21)</f>
        <v>289.04070499999995</v>
      </c>
      <c r="C18" s="232">
        <f>AVERAGE(C19:C21)</f>
        <v>0.78249999999999997</v>
      </c>
      <c r="D18" s="232">
        <f>AVERAGE(D19:D21)</f>
        <v>82.5</v>
      </c>
      <c r="E18" s="206"/>
      <c r="F18" s="206"/>
      <c r="G18" s="206"/>
      <c r="H18" s="206"/>
      <c r="I18" s="206"/>
      <c r="O18" s="229" t="e">
        <f>SUM(O19:O21)</f>
        <v>#REF!</v>
      </c>
      <c r="P18" s="229">
        <f>SUM(P19:P21)</f>
        <v>1.5649999999999999</v>
      </c>
      <c r="Q18" s="229">
        <f>SUM(Q19:Q21)</f>
        <v>165</v>
      </c>
      <c r="Z18">
        <v>0.78249999999999997</v>
      </c>
    </row>
    <row r="19" spans="1:26" ht="23.25" hidden="1" customHeight="1" outlineLevel="1" x14ac:dyDescent="0.2">
      <c r="A19" s="262" t="s">
        <v>247</v>
      </c>
      <c r="B19" s="226">
        <f>[1]Стр.14!$P$193/1000</f>
        <v>556.73173999999995</v>
      </c>
      <c r="C19" s="230">
        <f>[1]Стр.14!$F$193</f>
        <v>1.5149999999999999</v>
      </c>
      <c r="D19" s="226">
        <f>[1]Стр.14!$G$193</f>
        <v>160</v>
      </c>
      <c r="E19" s="206"/>
      <c r="F19" s="206"/>
      <c r="G19" s="206"/>
      <c r="H19" s="206"/>
      <c r="I19" s="206"/>
      <c r="O19" s="225">
        <f>'[6]ВЛ-0,4'!$I$69/1000</f>
        <v>556.73173999999995</v>
      </c>
      <c r="P19" s="230">
        <f>'[3]Приложение 8 инвест за 3 года '!$K$36</f>
        <v>1.5149999999999999</v>
      </c>
      <c r="Q19" s="226">
        <f>[3]стр.2014!$D$76</f>
        <v>160</v>
      </c>
    </row>
    <row r="20" spans="1:26" ht="23.25" hidden="1" customHeight="1" outlineLevel="1" x14ac:dyDescent="0.2">
      <c r="A20" s="262" t="s">
        <v>248</v>
      </c>
      <c r="B20" s="226">
        <f>[1]Стр.15!$P$197/1000</f>
        <v>21.34967</v>
      </c>
      <c r="C20" s="230">
        <f>[1]Стр.15!$F$197</f>
        <v>0.05</v>
      </c>
      <c r="D20" s="226">
        <f>[1]Стр.15!$G$197</f>
        <v>5</v>
      </c>
      <c r="E20" s="206"/>
      <c r="F20" s="206"/>
      <c r="G20" s="206"/>
      <c r="H20" s="206"/>
      <c r="I20" s="206"/>
      <c r="O20" s="225" t="e">
        <f>#REF!</f>
        <v>#REF!</v>
      </c>
      <c r="P20" s="230">
        <f>'[3]Приложение 8 инвест за 3 года '!$L$36</f>
        <v>0.05</v>
      </c>
      <c r="Q20" s="226">
        <f>[3]стр.2015!$D$91</f>
        <v>5</v>
      </c>
    </row>
    <row r="21" spans="1:26" ht="23.25" hidden="1" customHeight="1" outlineLevel="1" x14ac:dyDescent="0.2">
      <c r="A21" s="263" t="s">
        <v>271</v>
      </c>
      <c r="B21" s="228" t="str">
        <f>IF([1]Стр.16!$P$209/1000=0,"",[1]Стр.16!$P$209/1000)</f>
        <v/>
      </c>
      <c r="C21" s="231" t="str">
        <f>IF([1]Стр.16!$F$209=0,"",[1]Стр.16!$F$209)</f>
        <v/>
      </c>
      <c r="D21" s="228" t="str">
        <f>IF([1]Стр.16!$G$209=0,"",[1]Стр.16!$G$209)</f>
        <v/>
      </c>
      <c r="E21" s="206"/>
      <c r="F21" s="206"/>
      <c r="G21" s="206"/>
      <c r="H21" s="206"/>
      <c r="I21" s="206"/>
      <c r="O21" s="227"/>
      <c r="P21" s="231" t="str">
        <f>'[3]Приложение 8 инвест за 3 года '!$M$36</f>
        <v/>
      </c>
      <c r="Q21" s="228"/>
    </row>
    <row r="22" spans="1:26" ht="23.25" hidden="1" customHeight="1" outlineLevel="1" x14ac:dyDescent="0.2">
      <c r="A22" s="261" t="s">
        <v>252</v>
      </c>
      <c r="B22" s="232">
        <f>AVERAGE(B23:B25)</f>
        <v>54.219823333333331</v>
      </c>
      <c r="C22" s="232">
        <f>AVERAGE(C23:C25)</f>
        <v>0.24</v>
      </c>
      <c r="D22" s="232">
        <f>AVERAGE(D23:D25)</f>
        <v>44.26</v>
      </c>
      <c r="E22" s="206"/>
      <c r="F22" s="206"/>
      <c r="G22" s="206"/>
      <c r="H22" s="206"/>
      <c r="I22" s="206"/>
      <c r="O22" s="229" t="e">
        <f>SUM(O23:O25)</f>
        <v>#REF!</v>
      </c>
      <c r="P22" s="229">
        <f>SUM(P23:P25)</f>
        <v>0.48</v>
      </c>
      <c r="Q22" s="229">
        <f>SUM(Q23:Q25)</f>
        <v>132.78</v>
      </c>
    </row>
    <row r="23" spans="1:26" ht="23.25" hidden="1" customHeight="1" outlineLevel="1" x14ac:dyDescent="0.2">
      <c r="A23" s="262" t="s">
        <v>247</v>
      </c>
      <c r="B23" s="226">
        <f>[1]Стр.14!$P$195/1000</f>
        <v>66.242350000000002</v>
      </c>
      <c r="C23" s="230">
        <f>[1]Стр.14!$F$195</f>
        <v>0.1</v>
      </c>
      <c r="D23" s="226">
        <f>[1]Стр.14!$G$195</f>
        <v>16</v>
      </c>
      <c r="E23" s="206"/>
      <c r="F23" s="206"/>
      <c r="G23" s="206"/>
      <c r="H23" s="206"/>
      <c r="I23" s="206"/>
      <c r="O23" s="225">
        <f>'[6]ВЛ-0,4'!$I$72/1000</f>
        <v>66.242350000000002</v>
      </c>
      <c r="P23" s="230" t="str">
        <f>'[3]Приложение 8 инвест за 3 года '!W57</f>
        <v/>
      </c>
      <c r="Q23" s="226">
        <f>[3]стр.2014!$D$83</f>
        <v>16</v>
      </c>
    </row>
    <row r="24" spans="1:26" ht="23.25" hidden="1" customHeight="1" outlineLevel="1" x14ac:dyDescent="0.2">
      <c r="A24" s="262" t="s">
        <v>248</v>
      </c>
      <c r="B24" s="226">
        <f>[1]Стр.15!$P$199/1000</f>
        <v>10.91005</v>
      </c>
      <c r="C24" s="230">
        <f>[1]Стр.15!$F$199</f>
        <v>0.17</v>
      </c>
      <c r="D24" s="226">
        <f>[1]Стр.15!$G$199</f>
        <v>24</v>
      </c>
      <c r="E24" s="206"/>
      <c r="F24" s="206"/>
      <c r="G24" s="206"/>
      <c r="H24" s="206"/>
      <c r="I24" s="206"/>
      <c r="O24" s="225" t="e">
        <f>#REF!</f>
        <v>#REF!</v>
      </c>
      <c r="P24" s="230">
        <f>'[3]Приложение 8 инвест за 3 года '!$L$57</f>
        <v>0.17</v>
      </c>
      <c r="Q24" s="226">
        <f>[3]стр.2015!$D$102</f>
        <v>24</v>
      </c>
    </row>
    <row r="25" spans="1:26" ht="23.25" hidden="1" customHeight="1" outlineLevel="1" x14ac:dyDescent="0.2">
      <c r="A25" s="263" t="s">
        <v>271</v>
      </c>
      <c r="B25" s="228">
        <f>[1]Стр.16!$P$211/1000</f>
        <v>85.507070000000013</v>
      </c>
      <c r="C25" s="231">
        <f>[1]Стр.16!$F$211</f>
        <v>0.45</v>
      </c>
      <c r="D25" s="228">
        <f>[1]Стр.16!$G$211</f>
        <v>92.78</v>
      </c>
      <c r="E25" s="206"/>
      <c r="F25" s="206"/>
      <c r="G25" s="206"/>
      <c r="H25" s="206"/>
      <c r="I25" s="206"/>
      <c r="O25" s="227">
        <f>[3]стр.2016!$M$73</f>
        <v>96.51973000000001</v>
      </c>
      <c r="P25" s="231">
        <f>'[3]Приложение 8 инвест за 3 года '!$M$57</f>
        <v>0.31</v>
      </c>
      <c r="Q25" s="228">
        <f>[3]стр.2016!$D$73</f>
        <v>92.78</v>
      </c>
    </row>
    <row r="26" spans="1:26" ht="23.25" hidden="1" customHeight="1" outlineLevel="1" x14ac:dyDescent="0.2">
      <c r="A26" s="261" t="s">
        <v>251</v>
      </c>
      <c r="B26" s="232" t="str">
        <f>IFERROR(AVERAGE(B27:B29),"")</f>
        <v/>
      </c>
      <c r="C26" s="232" t="str">
        <f t="shared" ref="C26:D26" si="0">IFERROR(AVERAGE(C27:C29),"")</f>
        <v/>
      </c>
      <c r="D26" s="232" t="str">
        <f t="shared" si="0"/>
        <v/>
      </c>
      <c r="E26" s="206"/>
      <c r="F26" s="206"/>
      <c r="G26" s="206"/>
      <c r="H26" s="206"/>
      <c r="I26" s="206"/>
      <c r="O26" s="223"/>
      <c r="P26" s="232"/>
      <c r="Q26" s="224"/>
    </row>
    <row r="27" spans="1:26" ht="23.25" hidden="1" customHeight="1" outlineLevel="1" x14ac:dyDescent="0.2">
      <c r="A27" s="262" t="s">
        <v>247</v>
      </c>
      <c r="B27" s="226"/>
      <c r="C27" s="230"/>
      <c r="D27" s="226"/>
      <c r="E27" s="206"/>
      <c r="F27" s="206"/>
      <c r="G27" s="206"/>
      <c r="H27" s="206"/>
      <c r="I27" s="206"/>
      <c r="O27" s="225"/>
      <c r="P27" s="230"/>
      <c r="Q27" s="226"/>
    </row>
    <row r="28" spans="1:26" ht="23.25" hidden="1" customHeight="1" outlineLevel="1" x14ac:dyDescent="0.2">
      <c r="A28" s="262" t="s">
        <v>248</v>
      </c>
      <c r="B28" s="226"/>
      <c r="C28" s="230"/>
      <c r="D28" s="226"/>
      <c r="E28" s="206"/>
      <c r="F28" s="206"/>
      <c r="G28" s="206"/>
      <c r="H28" s="206"/>
      <c r="I28" s="206"/>
      <c r="O28" s="225"/>
      <c r="P28" s="230"/>
      <c r="Q28" s="226"/>
    </row>
    <row r="29" spans="1:26" ht="23.25" hidden="1" customHeight="1" outlineLevel="1" x14ac:dyDescent="0.2">
      <c r="A29" s="263" t="s">
        <v>271</v>
      </c>
      <c r="B29" s="228"/>
      <c r="C29" s="231"/>
      <c r="D29" s="228"/>
      <c r="E29" s="206"/>
      <c r="F29" s="206"/>
      <c r="G29" s="206"/>
      <c r="H29" s="206"/>
      <c r="I29" s="206"/>
      <c r="O29" s="227"/>
      <c r="P29" s="231"/>
      <c r="Q29" s="228"/>
    </row>
    <row r="30" spans="1:26" ht="24" customHeight="1" collapsed="1" x14ac:dyDescent="0.2">
      <c r="A30" s="260" t="s">
        <v>143</v>
      </c>
      <c r="B30" s="165">
        <f>SUM(B31,B35,B39,B43)</f>
        <v>6948.6939303333338</v>
      </c>
      <c r="C30" s="165">
        <f>SUM(C31,C35,C39,C43)</f>
        <v>11.534333333333334</v>
      </c>
      <c r="D30" s="165">
        <f>SUM(D31,D35,D39,D43)</f>
        <v>461.71333333333337</v>
      </c>
      <c r="E30" s="209">
        <f>B30/C30</f>
        <v>602.43567872727795</v>
      </c>
      <c r="F30" s="210">
        <f>SUM(B32:B34,B36:B38,B40:B42,B44:B46)/SUM(C32:C34,C36:C38,C40:C42,C44:C46)</f>
        <v>631.42970537140195</v>
      </c>
      <c r="G30" s="209">
        <f>B30/D30</f>
        <v>15.049801313224656</v>
      </c>
      <c r="H30" s="210">
        <f>SUM(B32:B34,B36:B38,B40:B42,B44:B46)/SUM(D32:D34,D36:D38,D40:D42,D44:D46)</f>
        <v>15.319701014969381</v>
      </c>
      <c r="I30" s="206">
        <f>'[5]Приложение 8 инвест за 3 года '!$AD$26+'[5]Приложение 8 инвест за 3 года '!$AD$48+'[5]Приложение 8 инвест за 3 года '!$AD$70+'[5]Приложение 8 инвест за 3 года '!$AD$93</f>
        <v>669.99333333333334</v>
      </c>
      <c r="J30" s="214">
        <f>'[2]Приложение 7'!B14</f>
        <v>5779.21</v>
      </c>
      <c r="K30" s="214">
        <f>'[2]Приложение 7'!C14</f>
        <v>8.043333333333333</v>
      </c>
      <c r="L30" s="211">
        <f>J30/K30</f>
        <v>718.50932449233323</v>
      </c>
      <c r="N30" s="233" t="e">
        <f>SUM(O31,O35,O39,O43)</f>
        <v>#REF!</v>
      </c>
      <c r="O30" s="229" t="e">
        <f>SUM(O31,O35,O39,O43)/3</f>
        <v>#REF!</v>
      </c>
      <c r="P30" s="229">
        <f>SUM(P31,P35,P39,P43)/3</f>
        <v>8.2246666666666659</v>
      </c>
      <c r="Q30" s="229">
        <f>SUM(Q31,Q35,Q39,Q43)/3</f>
        <v>341.05333333333334</v>
      </c>
    </row>
    <row r="31" spans="1:26" ht="24" hidden="1" customHeight="1" outlineLevel="1" x14ac:dyDescent="0.2">
      <c r="A31" s="261" t="s">
        <v>250</v>
      </c>
      <c r="B31" s="232">
        <f>AVERAGE(B32:B34)</f>
        <v>1461.89048</v>
      </c>
      <c r="C31" s="232">
        <f>AVERAGE(C32:C34)</f>
        <v>1.7139999999999997</v>
      </c>
      <c r="D31" s="232">
        <f>AVERAGE(D32:D34)</f>
        <v>66.399999999999991</v>
      </c>
      <c r="E31" s="206"/>
      <c r="F31" s="206">
        <f>F30/3.9</f>
        <v>161.90505265933385</v>
      </c>
      <c r="G31" s="206"/>
      <c r="H31" s="206"/>
      <c r="I31" s="206"/>
      <c r="O31" s="229" t="e">
        <f>SUM(O32:O34)</f>
        <v>#REF!</v>
      </c>
      <c r="P31" s="229">
        <f>SUM(P32:P34)</f>
        <v>5.5549999999999997</v>
      </c>
      <c r="Q31" s="229">
        <f>SUM(Q32:Q34)</f>
        <v>179.2</v>
      </c>
      <c r="V31">
        <v>1.6756666666666664</v>
      </c>
    </row>
    <row r="32" spans="1:26" ht="24" hidden="1" customHeight="1" outlineLevel="1" x14ac:dyDescent="0.2">
      <c r="A32" s="262" t="s">
        <v>247</v>
      </c>
      <c r="B32" s="226">
        <f>[1]Стр.14!$P$192/1000</f>
        <v>710.00406999999996</v>
      </c>
      <c r="C32" s="230">
        <f>[1]Стр.14!$F$192</f>
        <v>1.2609999999999997</v>
      </c>
      <c r="D32" s="226">
        <f>[1]Стр.14!$G$192</f>
        <v>46.2</v>
      </c>
      <c r="E32" s="206"/>
      <c r="F32" s="206"/>
      <c r="G32" s="206"/>
      <c r="H32" s="206"/>
      <c r="I32" s="206"/>
      <c r="O32" s="225">
        <f>'[6]ВЛ-10(до 500 м)'!$I$11/1000</f>
        <v>710.00397000000009</v>
      </c>
      <c r="P32" s="230">
        <f>'[7]10.1'!$F$50</f>
        <v>1.5989999999999998</v>
      </c>
      <c r="Q32" s="226">
        <f>[3]стр.2014!$D$72</f>
        <v>46.2</v>
      </c>
    </row>
    <row r="33" spans="1:17" ht="24" hidden="1" customHeight="1" outlineLevel="1" x14ac:dyDescent="0.2">
      <c r="A33" s="262" t="s">
        <v>248</v>
      </c>
      <c r="B33" s="226">
        <f>[1]Стр.15!$P$196/1000</f>
        <v>240.00800000000001</v>
      </c>
      <c r="C33" s="230">
        <f>[1]Стр.15!$F$196</f>
        <v>0.33999999999999997</v>
      </c>
      <c r="D33" s="226">
        <f>[1]Стр.15!$G$196</f>
        <v>33</v>
      </c>
      <c r="E33" s="206"/>
      <c r="F33" s="206"/>
      <c r="G33" s="206"/>
      <c r="H33" s="206"/>
      <c r="I33" s="206"/>
      <c r="O33" s="225" t="e">
        <f>#REF!</f>
        <v>#REF!</v>
      </c>
      <c r="P33" s="230">
        <f>'[7]10.1'!$G$50</f>
        <v>0.33999999999999997</v>
      </c>
      <c r="Q33" s="226">
        <f>[3]стр.2015!$D$86</f>
        <v>33</v>
      </c>
    </row>
    <row r="34" spans="1:17" ht="24" hidden="1" customHeight="1" outlineLevel="1" x14ac:dyDescent="0.2">
      <c r="A34" s="263" t="s">
        <v>249</v>
      </c>
      <c r="B34" s="228">
        <f>[1]Стр.16!$P$208/1000</f>
        <v>3435.6593699999999</v>
      </c>
      <c r="C34" s="231">
        <f>[1]Стр.16!$F$208</f>
        <v>3.5410000000000004</v>
      </c>
      <c r="D34" s="228">
        <f>[1]Стр.16!$G$208</f>
        <v>120</v>
      </c>
      <c r="E34" s="206"/>
      <c r="F34" s="206"/>
      <c r="G34" s="206"/>
      <c r="H34" s="206"/>
      <c r="I34" s="206"/>
      <c r="O34" s="227">
        <f>[3]стр.2016!$M$48</f>
        <v>3469.9693699999998</v>
      </c>
      <c r="P34" s="231">
        <f>'[7]10.1'!$H$50</f>
        <v>3.6160000000000005</v>
      </c>
      <c r="Q34" s="228">
        <f>[3]стр.2016!$D$48</f>
        <v>100</v>
      </c>
    </row>
    <row r="35" spans="1:17" ht="24" hidden="1" customHeight="1" outlineLevel="1" x14ac:dyDescent="0.2">
      <c r="A35" s="261" t="s">
        <v>253</v>
      </c>
      <c r="B35" s="232">
        <f>AVERAGE(B36:B38)</f>
        <v>851.41648533333353</v>
      </c>
      <c r="C35" s="232">
        <f>AVERAGE(C36:C38)</f>
        <v>0.89033333333333342</v>
      </c>
      <c r="D35" s="232">
        <f>AVERAGE(D36:D38)</f>
        <v>68.333333333333329</v>
      </c>
      <c r="E35" s="206"/>
      <c r="F35" s="206"/>
      <c r="G35" s="206"/>
      <c r="H35" s="206"/>
      <c r="I35" s="206"/>
      <c r="O35" s="229" t="e">
        <f>SUM(O36:O38)</f>
        <v>#REF!</v>
      </c>
      <c r="P35" s="229">
        <f>SUM(P36:P38)</f>
        <v>1.2590000000000001</v>
      </c>
      <c r="Q35" s="229">
        <f>SUM(Q36:Q38)</f>
        <v>190</v>
      </c>
    </row>
    <row r="36" spans="1:17" ht="24" hidden="1" customHeight="1" outlineLevel="1" x14ac:dyDescent="0.2">
      <c r="A36" s="262" t="s">
        <v>247</v>
      </c>
      <c r="B36" s="226">
        <f>[1]Стр.14!$P$194/1000</f>
        <v>218.01361</v>
      </c>
      <c r="C36" s="230">
        <f>[1]Стр.14!$F$194</f>
        <v>0.33800000000000002</v>
      </c>
      <c r="D36" s="226">
        <f>[1]Стр.14!$G$194</f>
        <v>160</v>
      </c>
      <c r="E36" s="206"/>
      <c r="F36" s="206"/>
      <c r="G36" s="206"/>
      <c r="H36" s="206"/>
      <c r="I36" s="206"/>
      <c r="O36" s="225">
        <f>'[6]ВЛ-10(до 500 м)'!$I$14/1000</f>
        <v>218.01361000000003</v>
      </c>
      <c r="P36" s="230">
        <f>'[3]Приложение 8 инвест за 3 года '!$K$46</f>
        <v>0.33800000000000002</v>
      </c>
      <c r="Q36" s="226">
        <f>[3]стр.2014!$D$79</f>
        <v>160</v>
      </c>
    </row>
    <row r="37" spans="1:17" ht="24" hidden="1" customHeight="1" outlineLevel="1" x14ac:dyDescent="0.2">
      <c r="A37" s="262" t="s">
        <v>248</v>
      </c>
      <c r="B37" s="226">
        <f>[1]Стр.15!$P$198/1000</f>
        <v>1070.0851660000003</v>
      </c>
      <c r="C37" s="230">
        <f>[1]Стр.15!$F$198</f>
        <v>0.65100000000000002</v>
      </c>
      <c r="D37" s="226">
        <f>[1]Стр.15!$G$198</f>
        <v>15</v>
      </c>
      <c r="E37" s="206"/>
      <c r="F37" s="206"/>
      <c r="G37" s="206"/>
      <c r="H37" s="206"/>
      <c r="I37" s="206"/>
      <c r="O37" s="225" t="e">
        <f>#REF!</f>
        <v>#REF!</v>
      </c>
      <c r="P37" s="230">
        <f>'[3]Приложение 8 инвест за 3 года '!$L$46</f>
        <v>0.65100000000000002</v>
      </c>
      <c r="Q37" s="226">
        <f>[3]стр.2015!$D$97</f>
        <v>15</v>
      </c>
    </row>
    <row r="38" spans="1:17" ht="24" hidden="1" customHeight="1" outlineLevel="1" x14ac:dyDescent="0.2">
      <c r="A38" s="263" t="s">
        <v>249</v>
      </c>
      <c r="B38" s="228">
        <f>IF([1]Стр.16!$P$210/1000=0,"",[1]Стр.16!$P$210/1000)</f>
        <v>1266.15068</v>
      </c>
      <c r="C38" s="231">
        <f>IF([1]Стр.16!$F$210=0,"",[1]Стр.16!$F$210)</f>
        <v>1.6819999999999999</v>
      </c>
      <c r="D38" s="228">
        <f>IF([1]Стр.16!$G$210=0,"",[1]Стр.16!$G$210)</f>
        <v>30</v>
      </c>
      <c r="E38" s="206"/>
      <c r="F38" s="206"/>
      <c r="G38" s="206"/>
      <c r="H38" s="206"/>
      <c r="I38" s="206"/>
      <c r="O38" s="227">
        <f>[3]стр.2016!$M$64</f>
        <v>186.05</v>
      </c>
      <c r="P38" s="231">
        <f>'[3]Приложение 8 инвест за 3 года '!$M$46</f>
        <v>0.27</v>
      </c>
      <c r="Q38" s="228">
        <f>[3]стр.2016!$D$64</f>
        <v>15</v>
      </c>
    </row>
    <row r="39" spans="1:17" ht="23.25" hidden="1" customHeight="1" outlineLevel="1" x14ac:dyDescent="0.2">
      <c r="A39" s="261" t="s">
        <v>252</v>
      </c>
      <c r="B39" s="232">
        <f>AVERAGE(B40:B42)</f>
        <v>4536.9345400000002</v>
      </c>
      <c r="C39" s="232">
        <f>AVERAGE(C40:C42)</f>
        <v>8.8150000000000013</v>
      </c>
      <c r="D39" s="232">
        <f>AVERAGE(D40:D42)</f>
        <v>114.65</v>
      </c>
      <c r="E39" s="206"/>
      <c r="F39" s="206"/>
      <c r="G39" s="206"/>
      <c r="H39" s="206"/>
      <c r="I39" s="206"/>
      <c r="O39" s="229" t="e">
        <f>SUM(O40:O42)</f>
        <v>#REF!</v>
      </c>
      <c r="P39" s="229">
        <f>SUM(P40:P42)</f>
        <v>17.84</v>
      </c>
      <c r="Q39" s="229">
        <f>SUM(Q40:Q42)</f>
        <v>389.3</v>
      </c>
    </row>
    <row r="40" spans="1:17" ht="23.25" hidden="1" customHeight="1" outlineLevel="1" x14ac:dyDescent="0.2">
      <c r="A40" s="262" t="s">
        <v>247</v>
      </c>
      <c r="B40" s="226">
        <f>[1]Стр.14!$P$196/1000</f>
        <v>3018.6522400000003</v>
      </c>
      <c r="C40" s="230">
        <f>[1]Стр.14!$F$196</f>
        <v>7.6</v>
      </c>
      <c r="D40" s="226">
        <f>[1]Стр.14!$G$196</f>
        <v>34</v>
      </c>
      <c r="E40" s="206"/>
      <c r="F40" s="206"/>
      <c r="G40" s="206"/>
      <c r="H40" s="206"/>
      <c r="I40" s="206"/>
      <c r="O40" s="225">
        <f>'[6]ВЛ-10(до 500 м)'!$I$19/1000</f>
        <v>4231.0296799999996</v>
      </c>
      <c r="P40" s="230">
        <f>'[3]Приложение 8 инвест за 3 года '!$K$68</f>
        <v>7.81</v>
      </c>
      <c r="Q40" s="226">
        <f>[3]стр.2014!$D$88</f>
        <v>194</v>
      </c>
    </row>
    <row r="41" spans="1:17" ht="23.25" hidden="1" customHeight="1" outlineLevel="1" x14ac:dyDescent="0.2">
      <c r="A41" s="262" t="s">
        <v>248</v>
      </c>
      <c r="B41" s="226">
        <f>[1]Стр.15!$P$200/1000</f>
        <v>6055.21684</v>
      </c>
      <c r="C41" s="230">
        <f>[1]Стр.15!$F$200</f>
        <v>10.030000000000001</v>
      </c>
      <c r="D41" s="226">
        <f>[1]Стр.15!$G$200</f>
        <v>195.3</v>
      </c>
      <c r="E41" s="206"/>
      <c r="F41" s="206"/>
      <c r="G41" s="206"/>
      <c r="H41" s="206"/>
      <c r="I41" s="206"/>
      <c r="O41" s="225" t="e">
        <f>#REF!</f>
        <v>#REF!</v>
      </c>
      <c r="P41" s="230">
        <f>'[3]Приложение 8 инвест за 3 года '!$L$68</f>
        <v>10.030000000000001</v>
      </c>
      <c r="Q41" s="226">
        <f>[3]стр.2015!$D$110</f>
        <v>195.3</v>
      </c>
    </row>
    <row r="42" spans="1:17" ht="23.25" hidden="1" customHeight="1" outlineLevel="1" x14ac:dyDescent="0.2">
      <c r="A42" s="263" t="s">
        <v>249</v>
      </c>
      <c r="B42" s="228" t="str">
        <f>IF([1]Стр.16!$P$212/1000=0,"",[1]Стр.16!$P$212/1000)</f>
        <v/>
      </c>
      <c r="C42" s="231" t="str">
        <f>IF([1]Стр.16!$F$212=0,"",[1]Стр.16!$F$212)</f>
        <v/>
      </c>
      <c r="D42" s="228" t="str">
        <f>IF([1]Стр.16!$G$212=0,"",[1]Стр.16!$G$212)</f>
        <v/>
      </c>
      <c r="E42" s="206"/>
      <c r="F42" s="206"/>
      <c r="G42" s="206"/>
      <c r="H42" s="206"/>
      <c r="I42" s="206"/>
      <c r="O42" s="227"/>
      <c r="P42" s="231" t="str">
        <f>'[3]Приложение 8 инвест за 3 года '!$M$68</f>
        <v/>
      </c>
      <c r="Q42" s="228"/>
    </row>
    <row r="43" spans="1:17" ht="24" hidden="1" customHeight="1" outlineLevel="1" x14ac:dyDescent="0.2">
      <c r="A43" s="261" t="s">
        <v>251</v>
      </c>
      <c r="B43" s="232">
        <f>AVERAGE(B44:B46)</f>
        <v>98.452425000000005</v>
      </c>
      <c r="C43" s="232">
        <f>AVERAGE(C44:C46)</f>
        <v>0.11499999999999999</v>
      </c>
      <c r="D43" s="232">
        <f>AVERAGE(D44:D46)</f>
        <v>212.33</v>
      </c>
      <c r="E43" s="206"/>
      <c r="F43" s="206"/>
      <c r="G43" s="206"/>
      <c r="H43" s="206"/>
      <c r="I43" s="206"/>
      <c r="O43" s="229" t="e">
        <f>SUM(O44:O46)</f>
        <v>#REF!</v>
      </c>
      <c r="P43" s="229">
        <f>SUM(P44:P46)</f>
        <v>0.02</v>
      </c>
      <c r="Q43" s="229">
        <f>SUM(Q44:Q46)</f>
        <v>264.66000000000003</v>
      </c>
    </row>
    <row r="44" spans="1:17" ht="24" hidden="1" customHeight="1" outlineLevel="1" x14ac:dyDescent="0.2">
      <c r="A44" s="262" t="s">
        <v>247</v>
      </c>
      <c r="B44" s="226">
        <f>[1]Стр.14!$P$198/1000</f>
        <v>121.37744000000001</v>
      </c>
      <c r="C44" s="230">
        <f>[1]Стр.14!$F$198</f>
        <v>0.21</v>
      </c>
      <c r="D44" s="226">
        <f>[1]Стр.14!$G$198</f>
        <v>160</v>
      </c>
      <c r="E44" s="206"/>
      <c r="F44" s="206"/>
      <c r="G44" s="206"/>
      <c r="H44" s="206"/>
      <c r="I44" s="206"/>
      <c r="O44" s="225"/>
      <c r="P44" s="230" t="str">
        <f>'[3]Приложение 8 инвест за 3 года '!$K$91</f>
        <v/>
      </c>
      <c r="Q44" s="226"/>
    </row>
    <row r="45" spans="1:17" ht="24" hidden="1" customHeight="1" outlineLevel="1" x14ac:dyDescent="0.2">
      <c r="A45" s="262" t="s">
        <v>248</v>
      </c>
      <c r="B45" s="226">
        <f>[1]Стр.15!$P$202/1000</f>
        <v>75.527410000000003</v>
      </c>
      <c r="C45" s="230">
        <f>[1]Стр.15!$F$202</f>
        <v>0.02</v>
      </c>
      <c r="D45" s="226">
        <f>[1]Стр.15!$G$202</f>
        <v>264.66000000000003</v>
      </c>
      <c r="E45" s="206"/>
      <c r="F45" s="206"/>
      <c r="G45" s="206"/>
      <c r="H45" s="206"/>
      <c r="I45" s="206"/>
      <c r="O45" s="225" t="e">
        <f>#REF!</f>
        <v>#REF!</v>
      </c>
      <c r="P45" s="230">
        <f>'[3]Приложение 8 инвест за 3 года '!$L$91</f>
        <v>0.02</v>
      </c>
      <c r="Q45" s="226">
        <f>[3]стр.2015!$D$114</f>
        <v>264.66000000000003</v>
      </c>
    </row>
    <row r="46" spans="1:17" ht="24" hidden="1" customHeight="1" outlineLevel="1" x14ac:dyDescent="0.2">
      <c r="A46" s="263" t="s">
        <v>249</v>
      </c>
      <c r="B46" s="228"/>
      <c r="C46" s="231"/>
      <c r="D46" s="228"/>
      <c r="E46" s="206"/>
      <c r="F46" s="206"/>
      <c r="G46" s="206"/>
      <c r="H46" s="206"/>
      <c r="I46" s="206"/>
      <c r="O46" s="227"/>
      <c r="P46" s="231" t="str">
        <f>'[3]Приложение 8 инвест за 3 года '!$M$91</f>
        <v/>
      </c>
      <c r="Q46" s="228"/>
    </row>
    <row r="47" spans="1:17" ht="24" customHeight="1" collapsed="1" x14ac:dyDescent="0.2">
      <c r="A47" s="260" t="s">
        <v>82</v>
      </c>
      <c r="B47" s="152"/>
      <c r="C47" s="165"/>
      <c r="D47" s="156"/>
      <c r="E47" s="208"/>
      <c r="F47" s="208"/>
      <c r="G47" s="208"/>
      <c r="H47" s="208"/>
      <c r="I47" s="208"/>
      <c r="O47" s="26"/>
      <c r="P47" s="165"/>
      <c r="Q47" s="156"/>
    </row>
  </sheetData>
  <mergeCells count="5">
    <mergeCell ref="C1:D1"/>
    <mergeCell ref="A4:D4"/>
    <mergeCell ref="J7:K7"/>
    <mergeCell ref="E7:F7"/>
    <mergeCell ref="G7:H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rowBreaks count="1" manualBreakCount="1">
    <brk id="4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L28"/>
  <sheetViews>
    <sheetView view="pageBreakPreview" zoomScale="70" zoomScaleNormal="100" zoomScaleSheetLayoutView="70" workbookViewId="0">
      <selection activeCell="B4" sqref="B4:K4"/>
    </sheetView>
  </sheetViews>
  <sheetFormatPr defaultRowHeight="12.75" x14ac:dyDescent="0.2"/>
  <cols>
    <col min="1" max="1" width="5.7109375" customWidth="1"/>
    <col min="2" max="2" width="38.85546875" customWidth="1"/>
    <col min="3" max="5" width="10.7109375" customWidth="1"/>
    <col min="6" max="6" width="12.28515625" customWidth="1"/>
    <col min="7" max="8" width="10.7109375" customWidth="1"/>
    <col min="9" max="9" width="11.5703125" customWidth="1"/>
    <col min="10" max="11" width="10.7109375" customWidth="1"/>
  </cols>
  <sheetData>
    <row r="1" spans="1:12" x14ac:dyDescent="0.2">
      <c r="F1" s="288" t="s">
        <v>231</v>
      </c>
      <c r="G1" s="288"/>
      <c r="H1" s="288"/>
      <c r="I1" s="288"/>
      <c r="J1" s="288"/>
      <c r="K1" s="288"/>
      <c r="L1" s="55"/>
    </row>
    <row r="2" spans="1:12" ht="54" customHeight="1" x14ac:dyDescent="0.2">
      <c r="F2" s="55"/>
      <c r="G2" s="55"/>
      <c r="H2" s="55"/>
      <c r="I2" s="288" t="s">
        <v>98</v>
      </c>
      <c r="J2" s="288"/>
      <c r="K2" s="288"/>
      <c r="L2" s="55"/>
    </row>
    <row r="3" spans="1:12" x14ac:dyDescent="0.2"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2" ht="77.25" customHeight="1" x14ac:dyDescent="0.2">
      <c r="B4" s="320" t="s">
        <v>214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1:12" ht="15.75" x14ac:dyDescent="0.2"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2" ht="34.5" customHeight="1" x14ac:dyDescent="0.2">
      <c r="A6" s="324" t="s">
        <v>148</v>
      </c>
      <c r="B6" s="324"/>
      <c r="C6" s="324" t="s">
        <v>149</v>
      </c>
      <c r="D6" s="324"/>
      <c r="E6" s="324"/>
      <c r="F6" s="324" t="s">
        <v>150</v>
      </c>
      <c r="G6" s="324"/>
      <c r="H6" s="324"/>
      <c r="I6" s="289" t="s">
        <v>151</v>
      </c>
      <c r="J6" s="290"/>
      <c r="K6" s="323"/>
    </row>
    <row r="7" spans="1:12" ht="46.5" customHeight="1" x14ac:dyDescent="0.2">
      <c r="A7" s="324"/>
      <c r="B7" s="324"/>
      <c r="C7" s="30" t="s">
        <v>37</v>
      </c>
      <c r="D7" s="30" t="s">
        <v>152</v>
      </c>
      <c r="E7" s="30" t="s">
        <v>153</v>
      </c>
      <c r="F7" s="30" t="s">
        <v>37</v>
      </c>
      <c r="G7" s="30" t="s">
        <v>152</v>
      </c>
      <c r="H7" s="30" t="s">
        <v>153</v>
      </c>
      <c r="I7" s="30" t="s">
        <v>37</v>
      </c>
      <c r="J7" s="30" t="s">
        <v>152</v>
      </c>
      <c r="K7" s="30" t="s">
        <v>153</v>
      </c>
    </row>
    <row r="8" spans="1:12" ht="48.75" customHeight="1" x14ac:dyDescent="0.2">
      <c r="A8" s="68" t="s">
        <v>90</v>
      </c>
      <c r="B8" s="63" t="s">
        <v>154</v>
      </c>
      <c r="C8" s="191">
        <v>230</v>
      </c>
      <c r="D8" s="191">
        <v>13</v>
      </c>
      <c r="E8" s="191">
        <v>0</v>
      </c>
      <c r="F8" s="187">
        <v>1701.29</v>
      </c>
      <c r="G8" s="187">
        <v>98.28</v>
      </c>
      <c r="H8" s="187">
        <v>0</v>
      </c>
      <c r="I8" s="187">
        <v>1190.0944199999999</v>
      </c>
      <c r="J8" s="187">
        <v>6.0593000000000004</v>
      </c>
      <c r="K8" s="187">
        <v>0</v>
      </c>
    </row>
    <row r="9" spans="1:12" ht="15.75" x14ac:dyDescent="0.2">
      <c r="A9" s="69"/>
      <c r="B9" s="71" t="s">
        <v>155</v>
      </c>
      <c r="C9" s="191">
        <v>203</v>
      </c>
      <c r="D9" s="191">
        <v>13</v>
      </c>
      <c r="E9" s="191">
        <v>0</v>
      </c>
      <c r="F9" s="187">
        <v>1557.23</v>
      </c>
      <c r="G9" s="187">
        <v>98.28</v>
      </c>
      <c r="H9" s="187">
        <v>0</v>
      </c>
      <c r="I9" s="187">
        <v>94.618300000000005</v>
      </c>
      <c r="J9" s="187">
        <v>6.0593000000000004</v>
      </c>
      <c r="K9" s="187">
        <v>0</v>
      </c>
    </row>
    <row r="10" spans="1:12" ht="24" customHeight="1" x14ac:dyDescent="0.2">
      <c r="A10" s="70"/>
      <c r="B10" s="72" t="s">
        <v>158</v>
      </c>
      <c r="C10" s="192"/>
      <c r="D10" s="192"/>
      <c r="E10" s="192"/>
      <c r="F10" s="188"/>
      <c r="G10" s="188"/>
      <c r="H10" s="188"/>
      <c r="I10" s="188"/>
      <c r="J10" s="188"/>
      <c r="K10" s="188"/>
    </row>
    <row r="11" spans="1:12" ht="24" customHeight="1" x14ac:dyDescent="0.2">
      <c r="A11" s="68" t="s">
        <v>30</v>
      </c>
      <c r="B11" s="63" t="s">
        <v>159</v>
      </c>
      <c r="C11" s="193">
        <v>10</v>
      </c>
      <c r="D11" s="193">
        <v>1</v>
      </c>
      <c r="E11" s="193">
        <v>0</v>
      </c>
      <c r="F11" s="189">
        <v>598.72</v>
      </c>
      <c r="G11" s="189">
        <v>16</v>
      </c>
      <c r="H11" s="189">
        <v>0</v>
      </c>
      <c r="I11" s="189">
        <v>172.20573999999999</v>
      </c>
      <c r="J11" s="189">
        <v>196.92992000000001</v>
      </c>
      <c r="K11" s="189">
        <v>0</v>
      </c>
    </row>
    <row r="12" spans="1:12" ht="15.75" x14ac:dyDescent="0.2">
      <c r="A12" s="69"/>
      <c r="B12" s="71" t="s">
        <v>155</v>
      </c>
      <c r="C12" s="191">
        <v>1</v>
      </c>
      <c r="D12" s="191">
        <v>1</v>
      </c>
      <c r="E12" s="191">
        <v>0</v>
      </c>
      <c r="F12" s="187">
        <v>17</v>
      </c>
      <c r="G12" s="187">
        <v>16</v>
      </c>
      <c r="H12" s="187">
        <v>0</v>
      </c>
      <c r="I12" s="187">
        <v>44.882669999999997</v>
      </c>
      <c r="J12" s="187">
        <v>196.92992000000001</v>
      </c>
      <c r="K12" s="187">
        <v>0</v>
      </c>
    </row>
    <row r="13" spans="1:12" ht="24" customHeight="1" x14ac:dyDescent="0.2">
      <c r="A13" s="70"/>
      <c r="B13" s="72" t="s">
        <v>160</v>
      </c>
      <c r="C13" s="192"/>
      <c r="D13" s="192"/>
      <c r="E13" s="192"/>
      <c r="F13" s="188"/>
      <c r="G13" s="188"/>
      <c r="H13" s="188"/>
      <c r="I13" s="188"/>
      <c r="J13" s="188"/>
      <c r="K13" s="188"/>
    </row>
    <row r="14" spans="1:12" ht="24" customHeight="1" x14ac:dyDescent="0.2">
      <c r="A14" s="68" t="s">
        <v>91</v>
      </c>
      <c r="B14" s="63" t="s">
        <v>161</v>
      </c>
      <c r="C14" s="191">
        <v>2</v>
      </c>
      <c r="D14" s="191">
        <v>1</v>
      </c>
      <c r="E14" s="191">
        <v>0</v>
      </c>
      <c r="F14" s="187">
        <v>534.6</v>
      </c>
      <c r="G14" s="187">
        <v>163.38</v>
      </c>
      <c r="H14" s="187">
        <v>0</v>
      </c>
      <c r="I14" s="187">
        <v>64.067269999999994</v>
      </c>
      <c r="J14" s="187">
        <v>7.3328600000000002</v>
      </c>
      <c r="K14" s="187">
        <v>0</v>
      </c>
    </row>
    <row r="15" spans="1:12" ht="15.75" x14ac:dyDescent="0.2">
      <c r="A15" s="69"/>
      <c r="B15" s="71" t="s">
        <v>155</v>
      </c>
      <c r="C15" s="194">
        <v>0</v>
      </c>
      <c r="D15" s="194">
        <v>0</v>
      </c>
      <c r="E15" s="194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</row>
    <row r="16" spans="1:12" ht="24" customHeight="1" x14ac:dyDescent="0.2">
      <c r="A16" s="70"/>
      <c r="B16" s="72" t="s">
        <v>162</v>
      </c>
      <c r="C16" s="192"/>
      <c r="D16" s="192"/>
      <c r="E16" s="192"/>
      <c r="F16" s="188"/>
      <c r="G16" s="188"/>
      <c r="H16" s="188"/>
      <c r="I16" s="188"/>
      <c r="J16" s="188"/>
      <c r="K16" s="188"/>
    </row>
    <row r="17" spans="1:11" ht="15.75" x14ac:dyDescent="0.2">
      <c r="A17" s="68" t="s">
        <v>92</v>
      </c>
      <c r="B17" s="63" t="s">
        <v>163</v>
      </c>
      <c r="C17" s="192">
        <v>0</v>
      </c>
      <c r="D17" s="192">
        <v>0</v>
      </c>
      <c r="E17" s="192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</row>
    <row r="18" spans="1:11" ht="15.75" x14ac:dyDescent="0.2">
      <c r="A18" s="69"/>
      <c r="B18" s="71" t="s">
        <v>155</v>
      </c>
      <c r="C18" s="194">
        <v>0</v>
      </c>
      <c r="D18" s="194">
        <v>0</v>
      </c>
      <c r="E18" s="194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</row>
    <row r="19" spans="1:11" ht="24" customHeight="1" x14ac:dyDescent="0.2">
      <c r="A19" s="70"/>
      <c r="B19" s="72" t="s">
        <v>162</v>
      </c>
      <c r="C19" s="192"/>
      <c r="D19" s="192"/>
      <c r="E19" s="192"/>
      <c r="F19" s="188"/>
      <c r="G19" s="188"/>
      <c r="H19" s="188"/>
      <c r="I19" s="188"/>
      <c r="J19" s="188"/>
      <c r="K19" s="188"/>
    </row>
    <row r="20" spans="1:11" ht="15.75" x14ac:dyDescent="0.2">
      <c r="A20" s="68" t="s">
        <v>93</v>
      </c>
      <c r="B20" s="63" t="s">
        <v>164</v>
      </c>
      <c r="C20" s="193">
        <v>0</v>
      </c>
      <c r="D20" s="193">
        <v>0</v>
      </c>
      <c r="E20" s="193">
        <v>0</v>
      </c>
      <c r="F20" s="189">
        <v>0</v>
      </c>
      <c r="G20" s="189">
        <v>0</v>
      </c>
      <c r="H20" s="189">
        <v>0</v>
      </c>
      <c r="I20" s="189">
        <v>0</v>
      </c>
      <c r="J20" s="189">
        <v>0</v>
      </c>
      <c r="K20" s="189">
        <v>0</v>
      </c>
    </row>
    <row r="21" spans="1:11" ht="15.75" x14ac:dyDescent="0.2">
      <c r="A21" s="69"/>
      <c r="B21" s="71" t="s">
        <v>155</v>
      </c>
      <c r="C21" s="191">
        <v>0</v>
      </c>
      <c r="D21" s="191">
        <v>0</v>
      </c>
      <c r="E21" s="191">
        <v>0</v>
      </c>
      <c r="F21" s="187">
        <v>0</v>
      </c>
      <c r="G21" s="187">
        <v>0</v>
      </c>
      <c r="H21" s="187">
        <v>0</v>
      </c>
      <c r="I21" s="187">
        <v>0</v>
      </c>
      <c r="J21" s="187">
        <v>0</v>
      </c>
      <c r="K21" s="187">
        <v>0</v>
      </c>
    </row>
    <row r="22" spans="1:11" ht="24" customHeight="1" x14ac:dyDescent="0.2">
      <c r="A22" s="70"/>
      <c r="B22" s="72" t="s">
        <v>162</v>
      </c>
      <c r="C22" s="192"/>
      <c r="D22" s="192"/>
      <c r="E22" s="192"/>
      <c r="F22" s="188"/>
      <c r="G22" s="188"/>
      <c r="H22" s="188"/>
      <c r="I22" s="188"/>
      <c r="J22" s="188"/>
      <c r="K22" s="188"/>
    </row>
    <row r="23" spans="1:11" ht="15.75" x14ac:dyDescent="0.2">
      <c r="A23" s="26" t="s">
        <v>94</v>
      </c>
      <c r="B23" s="63" t="s">
        <v>165</v>
      </c>
      <c r="C23" s="193">
        <v>0</v>
      </c>
      <c r="D23" s="193">
        <v>0</v>
      </c>
      <c r="E23" s="193">
        <v>0</v>
      </c>
      <c r="F23" s="189">
        <v>0</v>
      </c>
      <c r="G23" s="189">
        <v>0</v>
      </c>
      <c r="H23" s="189">
        <v>0</v>
      </c>
      <c r="I23" s="189">
        <v>0</v>
      </c>
      <c r="J23" s="189">
        <v>0</v>
      </c>
      <c r="K23" s="189">
        <v>0</v>
      </c>
    </row>
    <row r="26" spans="1:11" ht="15.75" x14ac:dyDescent="0.25">
      <c r="A26" s="66" t="s">
        <v>166</v>
      </c>
      <c r="B26" s="267" t="s">
        <v>168</v>
      </c>
      <c r="C26" s="267"/>
      <c r="D26" s="267"/>
      <c r="E26" s="267"/>
      <c r="F26" s="267"/>
      <c r="G26" s="267"/>
      <c r="H26" s="267"/>
      <c r="I26" s="267"/>
      <c r="J26" s="267"/>
      <c r="K26" s="267"/>
    </row>
    <row r="27" spans="1:11" ht="98.25" customHeight="1" x14ac:dyDescent="0.25">
      <c r="A27" s="67" t="s">
        <v>167</v>
      </c>
      <c r="B27" s="325" t="s">
        <v>169</v>
      </c>
      <c r="C27" s="325"/>
      <c r="D27" s="325"/>
      <c r="E27" s="325"/>
      <c r="F27" s="325"/>
      <c r="G27" s="325"/>
      <c r="H27" s="325"/>
      <c r="I27" s="325"/>
      <c r="J27" s="325"/>
      <c r="K27" s="325"/>
    </row>
    <row r="28" spans="1:11" ht="15.75" x14ac:dyDescent="0.25">
      <c r="A28" s="67" t="s">
        <v>212</v>
      </c>
      <c r="B28" s="325" t="s">
        <v>274</v>
      </c>
      <c r="C28" s="325"/>
      <c r="D28" s="325"/>
      <c r="E28" s="325"/>
      <c r="F28" s="325"/>
      <c r="G28" s="325"/>
      <c r="H28" s="325"/>
      <c r="I28" s="325"/>
      <c r="J28" s="325"/>
      <c r="K28" s="325"/>
    </row>
  </sheetData>
  <mergeCells count="10">
    <mergeCell ref="B28:K28"/>
    <mergeCell ref="A6:B7"/>
    <mergeCell ref="B26:K26"/>
    <mergeCell ref="B27:K27"/>
    <mergeCell ref="F1:K1"/>
    <mergeCell ref="B4:K4"/>
    <mergeCell ref="C6:E6"/>
    <mergeCell ref="F6:H6"/>
    <mergeCell ref="I2:K2"/>
    <mergeCell ref="I6:K6"/>
  </mergeCells>
  <pageMargins left="0.7" right="0.7" top="0.75" bottom="0.75" header="0.3" footer="0.3"/>
  <pageSetup paperSize="9" scale="6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I28"/>
  <sheetViews>
    <sheetView view="pageBreakPreview" zoomScale="70" zoomScaleNormal="100" zoomScaleSheetLayoutView="70" workbookViewId="0">
      <selection activeCell="B4" sqref="B4:H4"/>
    </sheetView>
  </sheetViews>
  <sheetFormatPr defaultRowHeight="12.75" x14ac:dyDescent="0.2"/>
  <cols>
    <col min="1" max="1" width="5.7109375" customWidth="1"/>
    <col min="2" max="2" width="38.85546875" customWidth="1"/>
    <col min="3" max="8" width="15.7109375" customWidth="1"/>
  </cols>
  <sheetData>
    <row r="1" spans="1:9" ht="12.75" customHeight="1" x14ac:dyDescent="0.2">
      <c r="F1" s="288" t="s">
        <v>232</v>
      </c>
      <c r="G1" s="288"/>
      <c r="H1" s="288"/>
      <c r="I1" s="55"/>
    </row>
    <row r="2" spans="1:9" ht="55.5" customHeight="1" x14ac:dyDescent="0.2">
      <c r="F2" s="55"/>
      <c r="G2" s="288" t="s">
        <v>98</v>
      </c>
      <c r="H2" s="288"/>
      <c r="I2" s="55"/>
    </row>
    <row r="3" spans="1:9" x14ac:dyDescent="0.2">
      <c r="B3" s="18"/>
      <c r="C3" s="18"/>
      <c r="D3" s="18"/>
      <c r="E3" s="18"/>
      <c r="F3" s="18"/>
      <c r="G3" s="18"/>
      <c r="H3" s="18"/>
    </row>
    <row r="4" spans="1:9" ht="77.25" customHeight="1" x14ac:dyDescent="0.2">
      <c r="B4" s="320" t="s">
        <v>213</v>
      </c>
      <c r="C4" s="320"/>
      <c r="D4" s="320"/>
      <c r="E4" s="320"/>
      <c r="F4" s="320"/>
      <c r="G4" s="320"/>
      <c r="H4" s="320"/>
    </row>
    <row r="5" spans="1:9" ht="15.75" x14ac:dyDescent="0.2">
      <c r="B5" s="64"/>
      <c r="C5" s="64"/>
      <c r="D5" s="64"/>
      <c r="E5" s="64"/>
      <c r="F5" s="64"/>
      <c r="G5" s="64"/>
      <c r="H5" s="64"/>
    </row>
    <row r="6" spans="1:9" ht="34.5" customHeight="1" x14ac:dyDescent="0.2">
      <c r="A6" s="324" t="s">
        <v>148</v>
      </c>
      <c r="B6" s="324"/>
      <c r="C6" s="324" t="s">
        <v>170</v>
      </c>
      <c r="D6" s="324"/>
      <c r="E6" s="324"/>
      <c r="F6" s="324" t="s">
        <v>150</v>
      </c>
      <c r="G6" s="324"/>
      <c r="H6" s="324"/>
    </row>
    <row r="7" spans="1:9" ht="46.5" customHeight="1" x14ac:dyDescent="0.2">
      <c r="A7" s="324"/>
      <c r="B7" s="324"/>
      <c r="C7" s="30" t="s">
        <v>37</v>
      </c>
      <c r="D7" s="30" t="s">
        <v>152</v>
      </c>
      <c r="E7" s="30" t="s">
        <v>153</v>
      </c>
      <c r="F7" s="30" t="s">
        <v>37</v>
      </c>
      <c r="G7" s="30" t="s">
        <v>152</v>
      </c>
      <c r="H7" s="30" t="s">
        <v>153</v>
      </c>
    </row>
    <row r="8" spans="1:9" ht="48.75" customHeight="1" x14ac:dyDescent="0.2">
      <c r="A8" s="68" t="s">
        <v>90</v>
      </c>
      <c r="B8" s="63" t="s">
        <v>154</v>
      </c>
      <c r="C8" s="191">
        <v>270</v>
      </c>
      <c r="D8" s="191">
        <v>18</v>
      </c>
      <c r="E8" s="191">
        <v>0</v>
      </c>
      <c r="F8" s="187">
        <v>2041.19</v>
      </c>
      <c r="G8" s="187">
        <v>124.18</v>
      </c>
      <c r="H8" s="187">
        <v>0</v>
      </c>
    </row>
    <row r="9" spans="1:9" ht="15.75" x14ac:dyDescent="0.2">
      <c r="A9" s="69"/>
      <c r="B9" s="71" t="s">
        <v>155</v>
      </c>
      <c r="C9" s="191">
        <v>235</v>
      </c>
      <c r="D9" s="191">
        <v>13</v>
      </c>
      <c r="E9" s="191">
        <v>0</v>
      </c>
      <c r="F9" s="187">
        <v>1835.23</v>
      </c>
      <c r="G9" s="187">
        <v>99.18</v>
      </c>
      <c r="H9" s="187">
        <v>0</v>
      </c>
    </row>
    <row r="10" spans="1:9" ht="24" customHeight="1" x14ac:dyDescent="0.2">
      <c r="A10" s="70"/>
      <c r="B10" s="72" t="s">
        <v>158</v>
      </c>
      <c r="C10" s="192"/>
      <c r="D10" s="192"/>
      <c r="E10" s="192"/>
      <c r="F10" s="188"/>
      <c r="G10" s="188"/>
      <c r="H10" s="188"/>
    </row>
    <row r="11" spans="1:9" ht="24" customHeight="1" x14ac:dyDescent="0.2">
      <c r="A11" s="68" t="s">
        <v>30</v>
      </c>
      <c r="B11" s="63" t="s">
        <v>159</v>
      </c>
      <c r="C11" s="196">
        <v>15</v>
      </c>
      <c r="D11" s="196">
        <v>10</v>
      </c>
      <c r="E11" s="196">
        <v>0</v>
      </c>
      <c r="F11" s="195">
        <v>974.72</v>
      </c>
      <c r="G11" s="195">
        <v>921.2</v>
      </c>
      <c r="H11" s="195">
        <v>0</v>
      </c>
    </row>
    <row r="12" spans="1:9" ht="15.75" x14ac:dyDescent="0.2">
      <c r="A12" s="69"/>
      <c r="B12" s="71" t="s">
        <v>155</v>
      </c>
      <c r="C12" s="191">
        <v>4</v>
      </c>
      <c r="D12" s="191">
        <v>9</v>
      </c>
      <c r="E12" s="191">
        <v>0</v>
      </c>
      <c r="F12" s="187">
        <v>203</v>
      </c>
      <c r="G12" s="187">
        <v>771.2</v>
      </c>
      <c r="H12" s="187">
        <v>0</v>
      </c>
    </row>
    <row r="13" spans="1:9" ht="24" customHeight="1" x14ac:dyDescent="0.2">
      <c r="A13" s="70"/>
      <c r="B13" s="72" t="s">
        <v>160</v>
      </c>
      <c r="C13" s="192"/>
      <c r="D13" s="192"/>
      <c r="E13" s="192"/>
      <c r="F13" s="188"/>
      <c r="G13" s="188"/>
      <c r="H13" s="188"/>
    </row>
    <row r="14" spans="1:9" ht="24" customHeight="1" x14ac:dyDescent="0.2">
      <c r="A14" s="68" t="s">
        <v>91</v>
      </c>
      <c r="B14" s="63" t="s">
        <v>161</v>
      </c>
      <c r="C14" s="192">
        <v>2</v>
      </c>
      <c r="D14" s="192">
        <v>3</v>
      </c>
      <c r="E14" s="192">
        <v>0</v>
      </c>
      <c r="F14" s="188">
        <v>534.6</v>
      </c>
      <c r="G14" s="188">
        <v>863.33</v>
      </c>
      <c r="H14" s="188">
        <v>0</v>
      </c>
    </row>
    <row r="15" spans="1:9" ht="15.75" x14ac:dyDescent="0.2">
      <c r="A15" s="69"/>
      <c r="B15" s="71" t="s">
        <v>155</v>
      </c>
      <c r="C15" s="194">
        <v>0</v>
      </c>
      <c r="D15" s="194">
        <v>0</v>
      </c>
      <c r="E15" s="194">
        <v>0</v>
      </c>
      <c r="F15" s="190">
        <v>0</v>
      </c>
      <c r="G15" s="197">
        <v>0</v>
      </c>
      <c r="H15" s="190">
        <v>0</v>
      </c>
    </row>
    <row r="16" spans="1:9" ht="24" customHeight="1" x14ac:dyDescent="0.2">
      <c r="A16" s="70"/>
      <c r="B16" s="72" t="s">
        <v>162</v>
      </c>
      <c r="C16" s="192"/>
      <c r="D16" s="192"/>
      <c r="E16" s="192"/>
      <c r="F16" s="188"/>
      <c r="G16" s="188"/>
      <c r="H16" s="188"/>
    </row>
    <row r="17" spans="1:8" ht="15.75" x14ac:dyDescent="0.2">
      <c r="A17" s="68" t="s">
        <v>92</v>
      </c>
      <c r="B17" s="63" t="s">
        <v>163</v>
      </c>
      <c r="C17" s="191">
        <v>0</v>
      </c>
      <c r="D17" s="191">
        <v>0</v>
      </c>
      <c r="E17" s="191">
        <v>0</v>
      </c>
      <c r="F17" s="187">
        <v>0</v>
      </c>
      <c r="G17" s="187">
        <v>0</v>
      </c>
      <c r="H17" s="187">
        <v>0</v>
      </c>
    </row>
    <row r="18" spans="1:8" ht="15.75" x14ac:dyDescent="0.2">
      <c r="A18" s="69"/>
      <c r="B18" s="71" t="s">
        <v>155</v>
      </c>
      <c r="C18" s="191">
        <v>0</v>
      </c>
      <c r="D18" s="191">
        <v>0</v>
      </c>
      <c r="E18" s="191">
        <v>0</v>
      </c>
      <c r="F18" s="187">
        <v>0</v>
      </c>
      <c r="G18" s="187">
        <v>0</v>
      </c>
      <c r="H18" s="187">
        <v>0</v>
      </c>
    </row>
    <row r="19" spans="1:8" ht="24" customHeight="1" x14ac:dyDescent="0.2">
      <c r="A19" s="70"/>
      <c r="B19" s="72" t="s">
        <v>162</v>
      </c>
      <c r="C19" s="192"/>
      <c r="D19" s="192"/>
      <c r="E19" s="192"/>
      <c r="F19" s="188"/>
      <c r="G19" s="188"/>
      <c r="H19" s="188"/>
    </row>
    <row r="20" spans="1:8" ht="15.75" x14ac:dyDescent="0.2">
      <c r="A20" s="68" t="s">
        <v>93</v>
      </c>
      <c r="B20" s="63" t="s">
        <v>164</v>
      </c>
      <c r="C20" s="192">
        <v>0</v>
      </c>
      <c r="D20" s="192">
        <v>0</v>
      </c>
      <c r="E20" s="192">
        <v>0</v>
      </c>
      <c r="F20" s="188">
        <v>0</v>
      </c>
      <c r="G20" s="188">
        <v>0</v>
      </c>
      <c r="H20" s="188">
        <v>0</v>
      </c>
    </row>
    <row r="21" spans="1:8" ht="15.75" x14ac:dyDescent="0.2">
      <c r="A21" s="69"/>
      <c r="B21" s="71" t="s">
        <v>155</v>
      </c>
      <c r="C21" s="194">
        <v>0</v>
      </c>
      <c r="D21" s="194">
        <v>0</v>
      </c>
      <c r="E21" s="194">
        <v>0</v>
      </c>
      <c r="F21" s="190">
        <v>0</v>
      </c>
      <c r="G21" s="197">
        <v>0</v>
      </c>
      <c r="H21" s="190">
        <v>0</v>
      </c>
    </row>
    <row r="22" spans="1:8" ht="24" customHeight="1" x14ac:dyDescent="0.2">
      <c r="A22" s="70"/>
      <c r="B22" s="72" t="s">
        <v>162</v>
      </c>
      <c r="C22" s="192"/>
      <c r="D22" s="192"/>
      <c r="E22" s="192"/>
      <c r="F22" s="188"/>
      <c r="G22" s="188"/>
      <c r="H22" s="188"/>
    </row>
    <row r="23" spans="1:8" ht="15.75" x14ac:dyDescent="0.2">
      <c r="A23" s="26" t="s">
        <v>94</v>
      </c>
      <c r="B23" s="63" t="s">
        <v>165</v>
      </c>
      <c r="C23" s="193">
        <v>0</v>
      </c>
      <c r="D23" s="193">
        <v>0</v>
      </c>
      <c r="E23" s="193">
        <v>0</v>
      </c>
      <c r="F23" s="189">
        <v>0</v>
      </c>
      <c r="G23" s="198">
        <v>0</v>
      </c>
      <c r="H23" s="189">
        <v>0</v>
      </c>
    </row>
    <row r="26" spans="1:8" ht="15.75" x14ac:dyDescent="0.25">
      <c r="A26" s="66" t="s">
        <v>166</v>
      </c>
      <c r="B26" s="267" t="s">
        <v>168</v>
      </c>
      <c r="C26" s="267"/>
      <c r="D26" s="267"/>
      <c r="E26" s="267"/>
      <c r="F26" s="267"/>
      <c r="G26" s="267"/>
      <c r="H26" s="267"/>
    </row>
    <row r="27" spans="1:8" ht="98.25" customHeight="1" x14ac:dyDescent="0.25">
      <c r="A27" s="67" t="s">
        <v>167</v>
      </c>
      <c r="B27" s="325" t="s">
        <v>169</v>
      </c>
      <c r="C27" s="325"/>
      <c r="D27" s="325"/>
      <c r="E27" s="325"/>
      <c r="F27" s="325"/>
      <c r="G27" s="325"/>
      <c r="H27" s="325"/>
    </row>
    <row r="28" spans="1:8" ht="15.75" x14ac:dyDescent="0.25">
      <c r="A28" s="67" t="s">
        <v>212</v>
      </c>
      <c r="B28" s="325" t="s">
        <v>274</v>
      </c>
      <c r="C28" s="325"/>
      <c r="D28" s="325"/>
      <c r="E28" s="325"/>
      <c r="F28" s="325"/>
      <c r="G28" s="325"/>
      <c r="H28" s="325"/>
    </row>
  </sheetData>
  <mergeCells count="9">
    <mergeCell ref="B28:H28"/>
    <mergeCell ref="B26:H26"/>
    <mergeCell ref="B27:H27"/>
    <mergeCell ref="F1:H1"/>
    <mergeCell ref="G2:H2"/>
    <mergeCell ref="B4:H4"/>
    <mergeCell ref="A6:B7"/>
    <mergeCell ref="C6:E6"/>
    <mergeCell ref="F6:H6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Приложение 2</vt:lpstr>
      <vt:lpstr>Приложение 3</vt:lpstr>
      <vt:lpstr>Приложение 4 </vt:lpstr>
      <vt:lpstr>Приложение 5 </vt:lpstr>
      <vt:lpstr>Приложение 6</vt:lpstr>
      <vt:lpstr>Приложение 7</vt:lpstr>
      <vt:lpstr>Приложение 8</vt:lpstr>
      <vt:lpstr>Приложение 9</vt:lpstr>
      <vt:lpstr>'Приложение 4 '!Заголовки_для_печати</vt:lpstr>
      <vt:lpstr>'Приложение 2'!Область_печати</vt:lpstr>
      <vt:lpstr>'Приложение 3'!Область_печати</vt:lpstr>
      <vt:lpstr>'Приложение 4 '!Область_печати</vt:lpstr>
      <vt:lpstr>'Приложение 5 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Company>AES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Носачев Алексей Викторович</cp:lastModifiedBy>
  <cp:lastPrinted>2017-09-11T07:18:33Z</cp:lastPrinted>
  <dcterms:created xsi:type="dcterms:W3CDTF">2006-07-26T11:25:38Z</dcterms:created>
  <dcterms:modified xsi:type="dcterms:W3CDTF">2017-10-20T11:02:46Z</dcterms:modified>
</cp:coreProperties>
</file>